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\Documents\IEN\XPS\Data\"/>
    </mc:Choice>
  </mc:AlternateContent>
  <bookViews>
    <workbookView minimized="1" xWindow="-30" yWindow="-75" windowWidth="12030" windowHeight="7335" activeTab="1"/>
  </bookViews>
  <sheets>
    <sheet name="Chart1" sheetId="5" r:id="rId1"/>
    <sheet name="Sheet1" sheetId="1" r:id="rId2"/>
    <sheet name="Sheet2" sheetId="2" r:id="rId3"/>
    <sheet name="Sheet3" sheetId="3" r:id="rId4"/>
    <sheet name="Sheet4" sheetId="4" r:id="rId5"/>
  </sheets>
  <definedNames>
    <definedName name="_xlnm._FilterDatabase" localSheetId="1" hidden="1">Sheet1!$BW$14:$BW$28</definedName>
    <definedName name="BeamEnergy">Sheet1!$AH$10:$AL$10</definedName>
    <definedName name="test">Sheet1!#REF!</definedName>
  </definedNames>
  <calcPr calcId="152511"/>
</workbook>
</file>

<file path=xl/calcChain.xml><?xml version="1.0" encoding="utf-8"?>
<calcChain xmlns="http://schemas.openxmlformats.org/spreadsheetml/2006/main">
  <c r="O32" i="1" l="1"/>
  <c r="P34" i="1"/>
  <c r="P23" i="1"/>
  <c r="P32" i="1"/>
  <c r="P25" i="1"/>
  <c r="P16" i="1"/>
  <c r="O16" i="1"/>
  <c r="M32" i="1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19" i="4"/>
  <c r="J40" i="4"/>
  <c r="J41" i="4"/>
  <c r="J31" i="4"/>
  <c r="J32" i="4"/>
  <c r="J33" i="4"/>
  <c r="J34" i="4"/>
  <c r="J35" i="4"/>
  <c r="J36" i="4"/>
  <c r="J37" i="4"/>
  <c r="J38" i="4"/>
  <c r="J39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H19" i="4"/>
  <c r="H20" i="4"/>
  <c r="H21" i="4"/>
  <c r="H22" i="4"/>
  <c r="H23" i="4"/>
  <c r="H24" i="4"/>
  <c r="H25" i="4"/>
  <c r="H26" i="4"/>
  <c r="H27" i="4"/>
  <c r="H28" i="4"/>
  <c r="H29" i="4"/>
  <c r="H18" i="4"/>
  <c r="AQ69" i="1"/>
  <c r="V44" i="1"/>
  <c r="W44" i="1"/>
  <c r="X44" i="1"/>
  <c r="Y44" i="1"/>
  <c r="Z44" i="1"/>
  <c r="AA44" i="1"/>
  <c r="AM44" i="1"/>
  <c r="AB44" i="1"/>
  <c r="AN44" i="1"/>
  <c r="AC44" i="1"/>
  <c r="V45" i="1"/>
  <c r="W45" i="1"/>
  <c r="X45" i="1"/>
  <c r="Y45" i="1"/>
  <c r="Z45" i="1"/>
  <c r="AA45" i="1"/>
  <c r="AM45" i="1"/>
  <c r="AB45" i="1"/>
  <c r="AN45" i="1"/>
  <c r="AC45" i="1"/>
  <c r="V46" i="1"/>
  <c r="W46" i="1"/>
  <c r="X46" i="1"/>
  <c r="Y46" i="1"/>
  <c r="Z46" i="1"/>
  <c r="AA46" i="1"/>
  <c r="AM46" i="1"/>
  <c r="AB46" i="1"/>
  <c r="AN46" i="1"/>
  <c r="AC46" i="1"/>
  <c r="V47" i="1"/>
  <c r="W47" i="1"/>
  <c r="X47" i="1"/>
  <c r="Y47" i="1"/>
  <c r="Z47" i="1"/>
  <c r="AA47" i="1"/>
  <c r="AM47" i="1"/>
  <c r="AB47" i="1"/>
  <c r="AN47" i="1"/>
  <c r="AC47" i="1"/>
  <c r="V48" i="1"/>
  <c r="W48" i="1"/>
  <c r="X48" i="1"/>
  <c r="Y48" i="1"/>
  <c r="Z48" i="1"/>
  <c r="AA48" i="1"/>
  <c r="AM48" i="1"/>
  <c r="AB48" i="1"/>
  <c r="AN48" i="1"/>
  <c r="AC48" i="1"/>
  <c r="V49" i="1"/>
  <c r="W49" i="1"/>
  <c r="X49" i="1"/>
  <c r="Y49" i="1"/>
  <c r="Z49" i="1"/>
  <c r="AA49" i="1"/>
  <c r="AM49" i="1"/>
  <c r="AB49" i="1"/>
  <c r="AN49" i="1"/>
  <c r="AC49" i="1"/>
  <c r="V50" i="1"/>
  <c r="W50" i="1"/>
  <c r="X50" i="1"/>
  <c r="Y50" i="1"/>
  <c r="Z50" i="1"/>
  <c r="AA50" i="1"/>
  <c r="AM50" i="1"/>
  <c r="AB50" i="1"/>
  <c r="AN50" i="1"/>
  <c r="AC50" i="1"/>
  <c r="V51" i="1"/>
  <c r="W51" i="1"/>
  <c r="X51" i="1"/>
  <c r="Y51" i="1"/>
  <c r="Z51" i="1"/>
  <c r="AA51" i="1"/>
  <c r="AM51" i="1"/>
  <c r="AB51" i="1"/>
  <c r="AN51" i="1"/>
  <c r="AC51" i="1"/>
  <c r="V52" i="1"/>
  <c r="W52" i="1"/>
  <c r="X52" i="1"/>
  <c r="Y52" i="1"/>
  <c r="Z52" i="1"/>
  <c r="AA52" i="1"/>
  <c r="AM52" i="1"/>
  <c r="AB52" i="1"/>
  <c r="AN52" i="1"/>
  <c r="AC52" i="1"/>
  <c r="V53" i="1"/>
  <c r="W53" i="1"/>
  <c r="X53" i="1"/>
  <c r="Y53" i="1"/>
  <c r="Z53" i="1"/>
  <c r="AA53" i="1"/>
  <c r="AM53" i="1"/>
  <c r="AB53" i="1"/>
  <c r="AN53" i="1"/>
  <c r="AC53" i="1"/>
  <c r="V54" i="1"/>
  <c r="W54" i="1"/>
  <c r="X54" i="1"/>
  <c r="Y54" i="1"/>
  <c r="Z54" i="1"/>
  <c r="AA54" i="1"/>
  <c r="AM54" i="1"/>
  <c r="AB54" i="1"/>
  <c r="AN54" i="1"/>
  <c r="AC54" i="1"/>
  <c r="V55" i="1"/>
  <c r="W55" i="1"/>
  <c r="X55" i="1"/>
  <c r="Y55" i="1"/>
  <c r="Z55" i="1"/>
  <c r="AA55" i="1"/>
  <c r="AM55" i="1"/>
  <c r="AB55" i="1"/>
  <c r="AN55" i="1"/>
  <c r="AC55" i="1"/>
  <c r="V56" i="1"/>
  <c r="W56" i="1"/>
  <c r="X56" i="1"/>
  <c r="Y56" i="1"/>
  <c r="Z56" i="1"/>
  <c r="AA56" i="1"/>
  <c r="AM56" i="1"/>
  <c r="AB56" i="1"/>
  <c r="AN56" i="1"/>
  <c r="AC56" i="1"/>
  <c r="V57" i="1"/>
  <c r="W57" i="1"/>
  <c r="X57" i="1"/>
  <c r="Y57" i="1"/>
  <c r="Z57" i="1"/>
  <c r="AA57" i="1"/>
  <c r="AM57" i="1"/>
  <c r="AB57" i="1"/>
  <c r="AN57" i="1"/>
  <c r="AC57" i="1"/>
  <c r="V58" i="1"/>
  <c r="W58" i="1"/>
  <c r="X58" i="1"/>
  <c r="Y58" i="1"/>
  <c r="Z58" i="1"/>
  <c r="AA58" i="1"/>
  <c r="AM58" i="1"/>
  <c r="AB58" i="1"/>
  <c r="AN58" i="1"/>
  <c r="AC58" i="1"/>
  <c r="V59" i="1"/>
  <c r="W59" i="1"/>
  <c r="X59" i="1"/>
  <c r="Y59" i="1"/>
  <c r="Z59" i="1"/>
  <c r="AA59" i="1"/>
  <c r="AM59" i="1"/>
  <c r="AB59" i="1"/>
  <c r="AN59" i="1"/>
  <c r="AC59" i="1"/>
  <c r="V60" i="1"/>
  <c r="W60" i="1"/>
  <c r="X60" i="1"/>
  <c r="Y60" i="1"/>
  <c r="Z60" i="1"/>
  <c r="AA60" i="1"/>
  <c r="AM60" i="1"/>
  <c r="AB60" i="1"/>
  <c r="AN60" i="1"/>
  <c r="AC60" i="1"/>
  <c r="V61" i="1"/>
  <c r="W61" i="1"/>
  <c r="X61" i="1"/>
  <c r="Y61" i="1"/>
  <c r="Z61" i="1"/>
  <c r="AA61" i="1"/>
  <c r="AM61" i="1"/>
  <c r="AB61" i="1"/>
  <c r="AN61" i="1"/>
  <c r="AC61" i="1"/>
  <c r="V62" i="1"/>
  <c r="W62" i="1"/>
  <c r="X62" i="1"/>
  <c r="Y62" i="1"/>
  <c r="Z62" i="1"/>
  <c r="AA62" i="1"/>
  <c r="AM62" i="1"/>
  <c r="AB62" i="1"/>
  <c r="AN62" i="1"/>
  <c r="AC62" i="1"/>
  <c r="V63" i="1"/>
  <c r="W63" i="1"/>
  <c r="X63" i="1"/>
  <c r="Y63" i="1"/>
  <c r="Z63" i="1"/>
  <c r="AA63" i="1"/>
  <c r="AB63" i="1"/>
  <c r="AC63" i="1"/>
  <c r="V64" i="1"/>
  <c r="W64" i="1"/>
  <c r="X64" i="1"/>
  <c r="Y64" i="1"/>
  <c r="Z64" i="1"/>
  <c r="AA64" i="1"/>
  <c r="AM64" i="1"/>
  <c r="AB64" i="1"/>
  <c r="AN64" i="1"/>
  <c r="AC64" i="1"/>
  <c r="V65" i="1"/>
  <c r="AH65" i="1"/>
  <c r="W65" i="1"/>
  <c r="X65" i="1"/>
  <c r="Y65" i="1"/>
  <c r="Z65" i="1"/>
  <c r="AA65" i="1"/>
  <c r="AM65" i="1"/>
  <c r="AB65" i="1"/>
  <c r="AN65" i="1"/>
  <c r="AC65" i="1"/>
  <c r="W43" i="1"/>
  <c r="X43" i="1"/>
  <c r="Y43" i="1"/>
  <c r="Z43" i="1"/>
  <c r="AA43" i="1"/>
  <c r="AM43" i="1"/>
  <c r="AB43" i="1"/>
  <c r="AN43" i="1"/>
  <c r="AC43" i="1"/>
  <c r="V43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14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69" i="1"/>
  <c r="AI44" i="1"/>
  <c r="AJ44" i="1"/>
  <c r="AK44" i="1"/>
  <c r="AI43" i="1"/>
  <c r="AJ43" i="1"/>
  <c r="AK43" i="1"/>
  <c r="AH43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14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43" i="1"/>
  <c r="AH44" i="1"/>
  <c r="J46" i="1"/>
  <c r="AP92" i="1"/>
  <c r="AI46" i="1"/>
  <c r="AH46" i="1"/>
  <c r="AJ46" i="1"/>
  <c r="AK46" i="1"/>
  <c r="AI48" i="1"/>
  <c r="AH48" i="1"/>
  <c r="AJ48" i="1"/>
  <c r="AK48" i="1"/>
  <c r="AI49" i="1"/>
  <c r="AK49" i="1"/>
  <c r="AH49" i="1"/>
  <c r="AJ49" i="1"/>
  <c r="AI50" i="1"/>
  <c r="AH50" i="1"/>
  <c r="AJ50" i="1"/>
  <c r="AK50" i="1"/>
  <c r="AH51" i="1"/>
  <c r="AI51" i="1"/>
  <c r="AJ51" i="1"/>
  <c r="AK51" i="1"/>
  <c r="AI53" i="1"/>
  <c r="AJ53" i="1"/>
  <c r="AH53" i="1"/>
  <c r="AK53" i="1"/>
  <c r="AI55" i="1"/>
  <c r="AJ55" i="1"/>
  <c r="AH55" i="1"/>
  <c r="AK55" i="1"/>
  <c r="AI56" i="1"/>
  <c r="AJ56" i="1"/>
  <c r="AH56" i="1"/>
  <c r="AK56" i="1"/>
  <c r="AI57" i="1"/>
  <c r="AJ57" i="1"/>
  <c r="AH57" i="1"/>
  <c r="AK57" i="1"/>
  <c r="AI58" i="1"/>
  <c r="AJ58" i="1"/>
  <c r="AH58" i="1"/>
  <c r="AK58" i="1"/>
  <c r="AI59" i="1"/>
  <c r="AJ59" i="1"/>
  <c r="AH59" i="1"/>
  <c r="AK59" i="1"/>
  <c r="AI60" i="1"/>
  <c r="AJ60" i="1"/>
  <c r="AH60" i="1"/>
  <c r="AK60" i="1"/>
  <c r="AI62" i="1"/>
  <c r="AK62" i="1"/>
  <c r="AH62" i="1"/>
  <c r="AJ62" i="1"/>
  <c r="AI64" i="1"/>
  <c r="AK64" i="1"/>
  <c r="AH64" i="1"/>
  <c r="AJ64" i="1"/>
  <c r="R61" i="1"/>
  <c r="P61" i="1"/>
  <c r="AI65" i="1"/>
  <c r="R65" i="1"/>
  <c r="P65" i="1"/>
  <c r="AJ65" i="1"/>
  <c r="AK65" i="1"/>
  <c r="R43" i="1"/>
  <c r="P43" i="1"/>
  <c r="R44" i="1"/>
  <c r="P44" i="1"/>
  <c r="R45" i="1"/>
  <c r="P45" i="1"/>
  <c r="R48" i="1"/>
  <c r="P48" i="1"/>
  <c r="R46" i="1"/>
  <c r="P46" i="1"/>
  <c r="R47" i="1"/>
  <c r="P47" i="1"/>
  <c r="R49" i="1"/>
  <c r="P49" i="1"/>
  <c r="R51" i="1"/>
  <c r="P51" i="1"/>
  <c r="R52" i="1"/>
  <c r="P52" i="1"/>
  <c r="R50" i="1"/>
  <c r="P50" i="1"/>
  <c r="R53" i="1"/>
  <c r="P53" i="1"/>
  <c r="R56" i="1"/>
  <c r="P56" i="1"/>
  <c r="R54" i="1"/>
  <c r="P54" i="1"/>
  <c r="R55" i="1"/>
  <c r="P55" i="1"/>
  <c r="R59" i="1"/>
  <c r="P59" i="1"/>
  <c r="R58" i="1"/>
  <c r="P58" i="1"/>
  <c r="R63" i="1"/>
  <c r="P63" i="1"/>
  <c r="R62" i="1"/>
  <c r="P62" i="1"/>
  <c r="R64" i="1"/>
  <c r="P64" i="1"/>
  <c r="R60" i="1"/>
  <c r="P60" i="1"/>
  <c r="R57" i="1"/>
  <c r="P57" i="1"/>
  <c r="Q67" i="1"/>
  <c r="P67" i="1"/>
  <c r="R67" i="1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V24" i="2"/>
  <c r="AW24" i="2"/>
  <c r="AV25" i="2"/>
  <c r="AV26" i="2"/>
  <c r="AW26" i="2"/>
  <c r="AV27" i="2"/>
  <c r="AU27" i="2"/>
  <c r="AV28" i="2"/>
  <c r="AU28" i="2"/>
  <c r="AV29" i="2"/>
  <c r="AV30" i="2"/>
  <c r="AW30" i="2"/>
  <c r="AV31" i="2"/>
  <c r="AU31" i="2"/>
  <c r="AV32" i="2"/>
  <c r="AU32" i="2"/>
  <c r="AV33" i="2"/>
  <c r="AV23" i="2"/>
  <c r="AW23" i="2"/>
  <c r="AW25" i="2"/>
  <c r="AW29" i="2"/>
  <c r="AW33" i="2"/>
  <c r="AO26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27" i="2"/>
  <c r="AL26" i="2"/>
  <c r="AS24" i="2"/>
  <c r="AS25" i="2"/>
  <c r="AS26" i="2"/>
  <c r="AS23" i="2"/>
  <c r="AO25" i="2"/>
  <c r="AQ24" i="2"/>
  <c r="AO24" i="2"/>
  <c r="AO23" i="2"/>
  <c r="BA32" i="2"/>
  <c r="BA31" i="2"/>
  <c r="BA30" i="2"/>
  <c r="BA29" i="2"/>
  <c r="BA28" i="2"/>
  <c r="BA27" i="2"/>
  <c r="BA26" i="2"/>
  <c r="BA25" i="2"/>
  <c r="BA24" i="2"/>
  <c r="BA23" i="2"/>
  <c r="AU25" i="2"/>
  <c r="AU26" i="2"/>
  <c r="AU29" i="2"/>
  <c r="AU30" i="2"/>
  <c r="AU33" i="2"/>
  <c r="AU24" i="2"/>
  <c r="AU23" i="2"/>
  <c r="AQ23" i="2"/>
  <c r="AL25" i="2"/>
  <c r="AL24" i="2"/>
  <c r="AL23" i="2"/>
  <c r="AQ25" i="2"/>
  <c r="AQ26" i="2"/>
  <c r="AW32" i="2"/>
  <c r="AW28" i="2"/>
  <c r="AW31" i="2"/>
  <c r="AW27" i="2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BS3" i="1"/>
  <c r="BR3" i="1"/>
  <c r="BQ4" i="1"/>
  <c r="BQ6" i="1"/>
  <c r="BO15" i="1"/>
  <c r="BO16" i="1"/>
  <c r="BO17" i="1"/>
  <c r="BO21" i="1"/>
  <c r="BO24" i="1"/>
  <c r="BO26" i="1"/>
  <c r="BO31" i="1"/>
  <c r="BO32" i="1"/>
  <c r="BO36" i="1"/>
  <c r="BO38" i="1"/>
  <c r="BO39" i="1"/>
  <c r="BO40" i="1"/>
  <c r="BO14" i="1"/>
  <c r="BR14" i="1"/>
  <c r="BT14" i="1"/>
  <c r="BR15" i="1"/>
  <c r="BT15" i="1"/>
  <c r="BQ15" i="1"/>
  <c r="BS15" i="1"/>
  <c r="BQ14" i="1"/>
  <c r="BS14" i="1"/>
  <c r="BR4" i="1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20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23" i="2"/>
  <c r="J44" i="2"/>
  <c r="J31" i="2"/>
  <c r="J33" i="2"/>
  <c r="J35" i="2"/>
  <c r="J23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N20" i="2"/>
  <c r="O20" i="2"/>
  <c r="M20" i="2"/>
  <c r="AC18" i="1"/>
  <c r="AB18" i="1"/>
  <c r="Z18" i="1"/>
  <c r="Y18" i="1"/>
  <c r="AK47" i="1"/>
  <c r="X18" i="1"/>
  <c r="AJ47" i="1"/>
  <c r="W18" i="1"/>
  <c r="AI47" i="1"/>
  <c r="V18" i="1"/>
  <c r="AH47" i="1"/>
  <c r="D18" i="1"/>
  <c r="E18" i="1"/>
  <c r="BM3" i="1"/>
  <c r="BL3" i="1"/>
  <c r="AF23" i="2"/>
  <c r="AF24" i="2"/>
  <c r="AF25" i="2"/>
  <c r="AF26" i="2"/>
  <c r="AF27" i="2"/>
  <c r="AF28" i="2"/>
  <c r="AF29" i="2"/>
  <c r="AF30" i="2"/>
  <c r="AF31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G25" i="2"/>
  <c r="AG26" i="2"/>
  <c r="AG27" i="2"/>
  <c r="AG28" i="2"/>
  <c r="AG29" i="2"/>
  <c r="AG30" i="2"/>
  <c r="AG31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4" i="2"/>
  <c r="AG23" i="2"/>
  <c r="X46" i="2"/>
  <c r="F27" i="2"/>
  <c r="BM20" i="1"/>
  <c r="G18" i="1"/>
  <c r="F18" i="1"/>
  <c r="V49" i="2"/>
  <c r="V46" i="2"/>
  <c r="V47" i="2"/>
  <c r="V44" i="2"/>
  <c r="V45" i="2"/>
  <c r="V43" i="2"/>
  <c r="Y44" i="2"/>
  <c r="W44" i="2"/>
  <c r="X44" i="2"/>
  <c r="W45" i="2"/>
  <c r="X45" i="2"/>
  <c r="Y45" i="2"/>
  <c r="W47" i="2"/>
  <c r="X47" i="2"/>
  <c r="Y47" i="2"/>
  <c r="W43" i="2"/>
  <c r="X43" i="2"/>
  <c r="Y43" i="2"/>
  <c r="E52" i="2"/>
  <c r="F52" i="2"/>
  <c r="G52" i="2"/>
  <c r="E51" i="2"/>
  <c r="F51" i="2"/>
  <c r="G51" i="2"/>
  <c r="E50" i="2"/>
  <c r="F50" i="2"/>
  <c r="G50" i="2"/>
  <c r="E49" i="2"/>
  <c r="F49" i="2"/>
  <c r="G49" i="2"/>
  <c r="F24" i="2"/>
  <c r="G24" i="2"/>
  <c r="F25" i="2"/>
  <c r="G25" i="2"/>
  <c r="F26" i="2"/>
  <c r="G26" i="2"/>
  <c r="G27" i="2"/>
  <c r="F28" i="2"/>
  <c r="G28" i="2"/>
  <c r="F29" i="2"/>
  <c r="G29" i="2"/>
  <c r="F30" i="2"/>
  <c r="G30" i="2"/>
  <c r="F31" i="2"/>
  <c r="G31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3" i="2"/>
  <c r="G43" i="2"/>
  <c r="F44" i="2"/>
  <c r="G44" i="2"/>
  <c r="F45" i="2"/>
  <c r="G45" i="2"/>
  <c r="F46" i="2"/>
  <c r="G46" i="2"/>
  <c r="F47" i="2"/>
  <c r="G47" i="2"/>
  <c r="F48" i="2"/>
  <c r="G48" i="2"/>
  <c r="F23" i="2"/>
  <c r="G23" i="2"/>
  <c r="J18" i="1"/>
  <c r="AZ18" i="1"/>
  <c r="K18" i="1"/>
  <c r="W46" i="2"/>
  <c r="S46" i="2"/>
  <c r="E24" i="2"/>
  <c r="E25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23" i="2"/>
  <c r="BL14" i="1"/>
  <c r="Y46" i="2"/>
  <c r="AK94" i="1"/>
  <c r="B3" i="1"/>
  <c r="BH44" i="1"/>
  <c r="BC45" i="1"/>
  <c r="BD44" i="1"/>
  <c r="BC44" i="1"/>
  <c r="BH46" i="1"/>
  <c r="BH47" i="1"/>
  <c r="BH48" i="1"/>
  <c r="BH49" i="1"/>
  <c r="BH45" i="1"/>
  <c r="BD45" i="1"/>
  <c r="BD46" i="1"/>
  <c r="BD47" i="1"/>
  <c r="BD48" i="1"/>
  <c r="BD49" i="1"/>
  <c r="BC49" i="1"/>
  <c r="BC48" i="1"/>
  <c r="BC47" i="1"/>
  <c r="BC46" i="1"/>
  <c r="BI2" i="1"/>
  <c r="V25" i="1"/>
  <c r="AH54" i="1"/>
  <c r="W23" i="1"/>
  <c r="AI52" i="1"/>
  <c r="X23" i="1"/>
  <c r="AJ52" i="1"/>
  <c r="Y23" i="1"/>
  <c r="AK52" i="1"/>
  <c r="Z23" i="1"/>
  <c r="AB23" i="1"/>
  <c r="AC23" i="1"/>
  <c r="V23" i="1"/>
  <c r="AH52" i="1"/>
  <c r="D23" i="1"/>
  <c r="E23" i="1"/>
  <c r="W25" i="1"/>
  <c r="AI54" i="1"/>
  <c r="X25" i="1"/>
  <c r="AJ54" i="1"/>
  <c r="Y25" i="1"/>
  <c r="AK54" i="1"/>
  <c r="Z25" i="1"/>
  <c r="AB25" i="1"/>
  <c r="AC25" i="1"/>
  <c r="V34" i="1"/>
  <c r="AH63" i="1"/>
  <c r="D25" i="1"/>
  <c r="E25" i="1"/>
  <c r="D29" i="1"/>
  <c r="E29" i="1"/>
  <c r="V16" i="1"/>
  <c r="AH45" i="1"/>
  <c r="I15" i="1"/>
  <c r="I14" i="1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6" i="3"/>
  <c r="B27" i="3"/>
  <c r="B28" i="3"/>
  <c r="B29" i="3"/>
  <c r="B30" i="3"/>
  <c r="B31" i="3"/>
  <c r="B32" i="3"/>
  <c r="B33" i="3"/>
  <c r="B34" i="3"/>
  <c r="B2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4" i="3"/>
  <c r="D30" i="1"/>
  <c r="E30" i="1"/>
  <c r="D19" i="1"/>
  <c r="W34" i="1"/>
  <c r="AI63" i="1"/>
  <c r="X34" i="1"/>
  <c r="AJ63" i="1"/>
  <c r="Y34" i="1"/>
  <c r="AK63" i="1"/>
  <c r="Z34" i="1"/>
  <c r="AB34" i="1"/>
  <c r="AN63" i="1"/>
  <c r="AC34" i="1"/>
  <c r="W32" i="1"/>
  <c r="AI61" i="1"/>
  <c r="X32" i="1"/>
  <c r="AJ61" i="1"/>
  <c r="Y32" i="1"/>
  <c r="AK61" i="1"/>
  <c r="Z32" i="1"/>
  <c r="AB32" i="1"/>
  <c r="AC32" i="1"/>
  <c r="V32" i="1"/>
  <c r="AH61" i="1"/>
  <c r="W16" i="1"/>
  <c r="AI45" i="1"/>
  <c r="X16" i="1"/>
  <c r="AJ45" i="1"/>
  <c r="Y16" i="1"/>
  <c r="AK45" i="1"/>
  <c r="Z16" i="1"/>
  <c r="AB16" i="1"/>
  <c r="AC16" i="1"/>
  <c r="AE95" i="1"/>
  <c r="AE96" i="1"/>
  <c r="AE97" i="1"/>
  <c r="AE94" i="1"/>
  <c r="AC98" i="1"/>
  <c r="AE98" i="1"/>
  <c r="D33" i="1"/>
  <c r="D26" i="1"/>
  <c r="E26" i="1"/>
  <c r="D20" i="1"/>
  <c r="E20" i="1"/>
  <c r="D28" i="1"/>
  <c r="E28" i="1"/>
  <c r="Z98" i="1"/>
  <c r="D21" i="1"/>
  <c r="D17" i="1"/>
  <c r="E17" i="1"/>
  <c r="D15" i="1"/>
  <c r="E15" i="1"/>
  <c r="D31" i="1"/>
  <c r="D32" i="1"/>
  <c r="E32" i="1"/>
  <c r="D16" i="1"/>
  <c r="D34" i="1"/>
  <c r="E34" i="1"/>
  <c r="D35" i="1"/>
  <c r="D22" i="1"/>
  <c r="E22" i="1"/>
  <c r="D24" i="1"/>
  <c r="E24" i="1"/>
  <c r="D27" i="1"/>
  <c r="D36" i="1"/>
  <c r="E36" i="1"/>
  <c r="D14" i="1"/>
  <c r="AI97" i="1"/>
  <c r="AJ97" i="1"/>
  <c r="AK97" i="1"/>
  <c r="AN97" i="1"/>
  <c r="AO97" i="1"/>
  <c r="AH97" i="1"/>
  <c r="AI96" i="1"/>
  <c r="AJ96" i="1"/>
  <c r="AK96" i="1"/>
  <c r="AN96" i="1"/>
  <c r="AO96" i="1"/>
  <c r="AH96" i="1"/>
  <c r="AH94" i="1"/>
  <c r="AI94" i="1"/>
  <c r="AJ94" i="1"/>
  <c r="AN94" i="1"/>
  <c r="AO94" i="1"/>
  <c r="AI95" i="1"/>
  <c r="AJ95" i="1"/>
  <c r="AK95" i="1"/>
  <c r="AN95" i="1"/>
  <c r="AO95" i="1"/>
  <c r="AH95" i="1"/>
  <c r="W95" i="1"/>
  <c r="X95" i="1"/>
  <c r="Z94" i="1"/>
  <c r="AD94" i="1"/>
  <c r="Z97" i="1"/>
  <c r="AD97" i="1"/>
  <c r="Z96" i="1"/>
  <c r="AD96" i="1"/>
  <c r="AB21" i="1"/>
  <c r="AC21" i="1"/>
  <c r="BX15" i="1"/>
  <c r="BX16" i="1"/>
  <c r="BX17" i="1"/>
  <c r="BX22" i="1"/>
  <c r="BX23" i="1"/>
  <c r="BX24" i="1"/>
  <c r="BX25" i="1"/>
  <c r="BX26" i="1"/>
  <c r="BX27" i="1"/>
  <c r="BX14" i="1"/>
  <c r="C3" i="2"/>
  <c r="C4" i="2"/>
  <c r="C5" i="2"/>
  <c r="C6" i="2"/>
  <c r="C7" i="2"/>
  <c r="C8" i="2"/>
  <c r="C9" i="2"/>
  <c r="C10" i="2"/>
  <c r="C2" i="2"/>
  <c r="AM10" i="1"/>
  <c r="AM96" i="1"/>
  <c r="AL97" i="1"/>
  <c r="AA14" i="1"/>
  <c r="AA21" i="1"/>
  <c r="AA17" i="1"/>
  <c r="AA15" i="1"/>
  <c r="AA31" i="1"/>
  <c r="AA34" i="1"/>
  <c r="AM63" i="1"/>
  <c r="AA35" i="1"/>
  <c r="AA22" i="1"/>
  <c r="AA24" i="1"/>
  <c r="AA27" i="1"/>
  <c r="AA36" i="1"/>
  <c r="AA10" i="1"/>
  <c r="Z35" i="1"/>
  <c r="Z27" i="1"/>
  <c r="Z10" i="1"/>
  <c r="AL94" i="1"/>
  <c r="AP52" i="1"/>
  <c r="AO52" i="1"/>
  <c r="AP63" i="1"/>
  <c r="AO63" i="1"/>
  <c r="G34" i="1"/>
  <c r="J34" i="1"/>
  <c r="F34" i="1"/>
  <c r="F15" i="1"/>
  <c r="G15" i="1"/>
  <c r="J15" i="1"/>
  <c r="F28" i="1"/>
  <c r="G28" i="1"/>
  <c r="J28" i="1"/>
  <c r="AZ28" i="1"/>
  <c r="F29" i="1"/>
  <c r="G29" i="1"/>
  <c r="J29" i="1"/>
  <c r="AZ29" i="1"/>
  <c r="BI29" i="1"/>
  <c r="F24" i="1"/>
  <c r="G24" i="1"/>
  <c r="J24" i="1"/>
  <c r="AZ24" i="1"/>
  <c r="BI24" i="1"/>
  <c r="F17" i="1"/>
  <c r="G17" i="1"/>
  <c r="J17" i="1"/>
  <c r="AZ17" i="1"/>
  <c r="F20" i="1"/>
  <c r="G20" i="1"/>
  <c r="J20" i="1"/>
  <c r="AZ20" i="1"/>
  <c r="BI20" i="1"/>
  <c r="G30" i="1"/>
  <c r="J30" i="1"/>
  <c r="AZ30" i="1"/>
  <c r="BI30" i="1"/>
  <c r="F30" i="1"/>
  <c r="F25" i="1"/>
  <c r="G25" i="1"/>
  <c r="J25" i="1"/>
  <c r="AL44" i="1"/>
  <c r="AL45" i="1"/>
  <c r="AO45" i="1"/>
  <c r="AL46" i="1"/>
  <c r="AL47" i="1"/>
  <c r="AL48" i="1"/>
  <c r="AL49" i="1"/>
  <c r="AL50" i="1"/>
  <c r="AL51" i="1"/>
  <c r="AL52" i="1"/>
  <c r="AL53" i="1"/>
  <c r="AL54" i="1"/>
  <c r="AP54" i="1"/>
  <c r="AL55" i="1"/>
  <c r="AL56" i="1"/>
  <c r="AL57" i="1"/>
  <c r="AL58" i="1"/>
  <c r="AL59" i="1"/>
  <c r="AL60" i="1"/>
  <c r="AL61" i="1"/>
  <c r="AO61" i="1"/>
  <c r="AL62" i="1"/>
  <c r="AL63" i="1"/>
  <c r="AL64" i="1"/>
  <c r="AL65" i="1"/>
  <c r="AL43" i="1"/>
  <c r="G22" i="1"/>
  <c r="J22" i="1"/>
  <c r="AZ22" i="1"/>
  <c r="BI22" i="1"/>
  <c r="F22" i="1"/>
  <c r="G32" i="1"/>
  <c r="J32" i="1"/>
  <c r="F32" i="1"/>
  <c r="G26" i="1"/>
  <c r="J26" i="1"/>
  <c r="AZ26" i="1"/>
  <c r="F26" i="1"/>
  <c r="AZ15" i="1"/>
  <c r="BI15" i="1"/>
  <c r="F23" i="1"/>
  <c r="G23" i="1"/>
  <c r="J23" i="1"/>
  <c r="BE48" i="1"/>
  <c r="BF48" i="1"/>
  <c r="G36" i="1"/>
  <c r="J36" i="1"/>
  <c r="AZ36" i="1"/>
  <c r="BI36" i="1"/>
  <c r="F36" i="1"/>
  <c r="BE46" i="1"/>
  <c r="BF46" i="1"/>
  <c r="BE49" i="1"/>
  <c r="BF49" i="1"/>
  <c r="AL95" i="1"/>
  <c r="AH14" i="1"/>
  <c r="B4" i="1"/>
  <c r="AH34" i="1"/>
  <c r="AG16" i="1"/>
  <c r="AG18" i="1"/>
  <c r="AG20" i="1"/>
  <c r="AG22" i="1"/>
  <c r="AG24" i="1"/>
  <c r="AG26" i="1"/>
  <c r="AG28" i="1"/>
  <c r="AG30" i="1"/>
  <c r="AG32" i="1"/>
  <c r="AG34" i="1"/>
  <c r="AG36" i="1"/>
  <c r="AF15" i="1"/>
  <c r="AF17" i="1"/>
  <c r="AF19" i="1"/>
  <c r="AF21" i="1"/>
  <c r="AF23" i="1"/>
  <c r="AF25" i="1"/>
  <c r="AF27" i="1"/>
  <c r="AF29" i="1"/>
  <c r="AF31" i="1"/>
  <c r="AF33" i="1"/>
  <c r="AF35" i="1"/>
  <c r="AF14" i="1"/>
  <c r="AG15" i="1"/>
  <c r="AG17" i="1"/>
  <c r="AG19" i="1"/>
  <c r="AG21" i="1"/>
  <c r="AG23" i="1"/>
  <c r="AG25" i="1"/>
  <c r="AG27" i="1"/>
  <c r="AG29" i="1"/>
  <c r="AG31" i="1"/>
  <c r="AG33" i="1"/>
  <c r="AG35" i="1"/>
  <c r="AG14" i="1"/>
  <c r="AF16" i="1"/>
  <c r="AF18" i="1"/>
  <c r="AF20" i="1"/>
  <c r="AF22" i="1"/>
  <c r="AF24" i="1"/>
  <c r="AF26" i="1"/>
  <c r="AF28" i="1"/>
  <c r="AF30" i="1"/>
  <c r="AF32" i="1"/>
  <c r="AF34" i="1"/>
  <c r="AF36" i="1"/>
  <c r="AM14" i="1"/>
  <c r="AN15" i="1"/>
  <c r="AO16" i="1"/>
  <c r="AN19" i="1"/>
  <c r="AO20" i="1"/>
  <c r="AM22" i="1"/>
  <c r="AN23" i="1"/>
  <c r="AO24" i="1"/>
  <c r="AM26" i="1"/>
  <c r="AN27" i="1"/>
  <c r="AO28" i="1"/>
  <c r="AM30" i="1"/>
  <c r="AN31" i="1"/>
  <c r="AO32" i="1"/>
  <c r="AM34" i="1"/>
  <c r="AN35" i="1"/>
  <c r="AO36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H18" i="1"/>
  <c r="AH22" i="1"/>
  <c r="AH30" i="1"/>
  <c r="AO15" i="1"/>
  <c r="AM21" i="1"/>
  <c r="AM29" i="1"/>
  <c r="AO31" i="1"/>
  <c r="AN34" i="1"/>
  <c r="AI15" i="1"/>
  <c r="AI17" i="1"/>
  <c r="AI20" i="1"/>
  <c r="AI23" i="1"/>
  <c r="AI25" i="1"/>
  <c r="AI28" i="1"/>
  <c r="AI31" i="1"/>
  <c r="AI33" i="1"/>
  <c r="AI36" i="1"/>
  <c r="AH19" i="1"/>
  <c r="AH27" i="1"/>
  <c r="AM20" i="1"/>
  <c r="AM24" i="1"/>
  <c r="AO26" i="1"/>
  <c r="AO30" i="1"/>
  <c r="AM15" i="1"/>
  <c r="AN16" i="1"/>
  <c r="AO17" i="1"/>
  <c r="AM19" i="1"/>
  <c r="AN20" i="1"/>
  <c r="AO21" i="1"/>
  <c r="AN24" i="1"/>
  <c r="AO25" i="1"/>
  <c r="AM27" i="1"/>
  <c r="AN28" i="1"/>
  <c r="AO29" i="1"/>
  <c r="AM31" i="1"/>
  <c r="AN32" i="1"/>
  <c r="AO33" i="1"/>
  <c r="AM35" i="1"/>
  <c r="AN36" i="1"/>
  <c r="AK14" i="1"/>
  <c r="AK15" i="1"/>
  <c r="AK16" i="1"/>
  <c r="AK17" i="1"/>
  <c r="AK18" i="1"/>
  <c r="AK19" i="1"/>
  <c r="AK20" i="1"/>
  <c r="AK21" i="1"/>
  <c r="BD21" i="1"/>
  <c r="AK22" i="1"/>
  <c r="AK23" i="1"/>
  <c r="AK24" i="1"/>
  <c r="AK25" i="1"/>
  <c r="BD25" i="1"/>
  <c r="AK26" i="1"/>
  <c r="AK27" i="1"/>
  <c r="AK28" i="1"/>
  <c r="AK29" i="1"/>
  <c r="BD29" i="1"/>
  <c r="AK30" i="1"/>
  <c r="BD30" i="1"/>
  <c r="AK31" i="1"/>
  <c r="AK32" i="1"/>
  <c r="AK33" i="1"/>
  <c r="BD33" i="1"/>
  <c r="AK34" i="1"/>
  <c r="BD34" i="1"/>
  <c r="AK35" i="1"/>
  <c r="AK36" i="1"/>
  <c r="AH17" i="1"/>
  <c r="AH21" i="1"/>
  <c r="AH25" i="1"/>
  <c r="AH29" i="1"/>
  <c r="AH33" i="1"/>
  <c r="AH26" i="1"/>
  <c r="AN14" i="1"/>
  <c r="AM17" i="1"/>
  <c r="AN18" i="1"/>
  <c r="AO19" i="1"/>
  <c r="AN22" i="1"/>
  <c r="AO23" i="1"/>
  <c r="AN26" i="1"/>
  <c r="AO27" i="1"/>
  <c r="AN30" i="1"/>
  <c r="AM33" i="1"/>
  <c r="AO35" i="1"/>
  <c r="AI14" i="1"/>
  <c r="AI16" i="1"/>
  <c r="AI18" i="1"/>
  <c r="AI19" i="1"/>
  <c r="AI21" i="1"/>
  <c r="AI22" i="1"/>
  <c r="AI24" i="1"/>
  <c r="AI26" i="1"/>
  <c r="AI27" i="1"/>
  <c r="AI29" i="1"/>
  <c r="AI30" i="1"/>
  <c r="AI32" i="1"/>
  <c r="AI34" i="1"/>
  <c r="AI35" i="1"/>
  <c r="AH15" i="1"/>
  <c r="AH23" i="1"/>
  <c r="AH31" i="1"/>
  <c r="AH35" i="1"/>
  <c r="AO14" i="1"/>
  <c r="AN17" i="1"/>
  <c r="AO18" i="1"/>
  <c r="AN21" i="1"/>
  <c r="AO22" i="1"/>
  <c r="AN25" i="1"/>
  <c r="AM28" i="1"/>
  <c r="AN29" i="1"/>
  <c r="AO34" i="1"/>
  <c r="AJ16" i="1"/>
  <c r="AJ20" i="1"/>
  <c r="AJ24" i="1"/>
  <c r="AJ28" i="1"/>
  <c r="AJ32" i="1"/>
  <c r="AJ36" i="1"/>
  <c r="AH28" i="1"/>
  <c r="AM36" i="1"/>
  <c r="AJ17" i="1"/>
  <c r="AJ21" i="1"/>
  <c r="BC21" i="1"/>
  <c r="AJ25" i="1"/>
  <c r="BC25" i="1"/>
  <c r="AJ29" i="1"/>
  <c r="BC29" i="1"/>
  <c r="AJ33" i="1"/>
  <c r="BC33" i="1"/>
  <c r="AH16" i="1"/>
  <c r="AH32" i="1"/>
  <c r="AJ14" i="1"/>
  <c r="AJ18" i="1"/>
  <c r="AJ22" i="1"/>
  <c r="AJ26" i="1"/>
  <c r="AJ30" i="1"/>
  <c r="BC30" i="1"/>
  <c r="AJ34" i="1"/>
  <c r="BC34" i="1"/>
  <c r="AH20" i="1"/>
  <c r="AH36" i="1"/>
  <c r="AN33" i="1"/>
  <c r="AJ15" i="1"/>
  <c r="AJ19" i="1"/>
  <c r="BC19" i="1"/>
  <c r="AJ23" i="1"/>
  <c r="AJ27" i="1"/>
  <c r="AJ31" i="1"/>
  <c r="AJ35" i="1"/>
  <c r="AH24" i="1"/>
  <c r="BE45" i="1"/>
  <c r="BF45" i="1"/>
  <c r="AL96" i="1"/>
  <c r="BE47" i="1"/>
  <c r="BF47" i="1"/>
  <c r="AM97" i="1"/>
  <c r="AA16" i="1"/>
  <c r="AM16" i="1"/>
  <c r="AA18" i="1"/>
  <c r="AM18" i="1"/>
  <c r="AD98" i="1"/>
  <c r="BJ2" i="1"/>
  <c r="BJ7" i="1"/>
  <c r="BI17" i="1"/>
  <c r="BI26" i="1"/>
  <c r="BI28" i="1"/>
  <c r="BI32" i="1"/>
  <c r="BI34" i="1"/>
  <c r="BI23" i="1"/>
  <c r="BI25" i="1"/>
  <c r="BI7" i="1"/>
  <c r="Z95" i="1"/>
  <c r="AD95" i="1"/>
  <c r="AM94" i="1"/>
  <c r="AM95" i="1"/>
  <c r="BE44" i="1"/>
  <c r="BF44" i="1"/>
  <c r="E14" i="1"/>
  <c r="E35" i="1"/>
  <c r="E33" i="1"/>
  <c r="E31" i="1"/>
  <c r="E27" i="1"/>
  <c r="E21" i="1"/>
  <c r="E19" i="1"/>
  <c r="E16" i="1"/>
  <c r="AA25" i="1"/>
  <c r="AM25" i="1"/>
  <c r="AA23" i="1"/>
  <c r="AM23" i="1"/>
  <c r="AA32" i="1"/>
  <c r="AM32" i="1"/>
  <c r="K15" i="1"/>
  <c r="K17" i="1"/>
  <c r="AP61" i="1"/>
  <c r="AP45" i="1"/>
  <c r="AO54" i="1"/>
  <c r="K28" i="1"/>
  <c r="K30" i="1"/>
  <c r="K22" i="1"/>
  <c r="K26" i="1"/>
  <c r="AP49" i="1"/>
  <c r="AO49" i="1"/>
  <c r="AP65" i="1"/>
  <c r="AO65" i="1"/>
  <c r="AP57" i="1"/>
  <c r="AO57" i="1"/>
  <c r="AO64" i="1"/>
  <c r="AP64" i="1"/>
  <c r="AP44" i="1"/>
  <c r="AO44" i="1"/>
  <c r="AP59" i="1"/>
  <c r="AO59" i="1"/>
  <c r="AO55" i="1"/>
  <c r="AP55" i="1"/>
  <c r="AP51" i="1"/>
  <c r="AO51" i="1"/>
  <c r="AO47" i="1"/>
  <c r="AP47" i="1"/>
  <c r="AO43" i="1"/>
  <c r="AP43" i="1"/>
  <c r="AP53" i="1"/>
  <c r="AO53" i="1"/>
  <c r="AO60" i="1"/>
  <c r="AP60" i="1"/>
  <c r="AO56" i="1"/>
  <c r="AP56" i="1"/>
  <c r="AO48" i="1"/>
  <c r="AP48" i="1"/>
  <c r="AO62" i="1"/>
  <c r="AP62" i="1"/>
  <c r="AO58" i="1"/>
  <c r="AP58" i="1"/>
  <c r="AO50" i="1"/>
  <c r="AP50" i="1"/>
  <c r="AP46" i="1"/>
  <c r="AO46" i="1"/>
  <c r="K24" i="1"/>
  <c r="K36" i="1"/>
  <c r="K32" i="1"/>
  <c r="K23" i="1"/>
  <c r="F27" i="1"/>
  <c r="G27" i="1"/>
  <c r="F14" i="1"/>
  <c r="G14" i="1"/>
  <c r="F16" i="1"/>
  <c r="G16" i="1"/>
  <c r="F31" i="1"/>
  <c r="G31" i="1"/>
  <c r="K20" i="1"/>
  <c r="K34" i="1"/>
  <c r="F19" i="1"/>
  <c r="G19" i="1"/>
  <c r="G33" i="1"/>
  <c r="F33" i="1"/>
  <c r="K25" i="1"/>
  <c r="K29" i="1"/>
  <c r="F21" i="1"/>
  <c r="G21" i="1"/>
  <c r="F35" i="1"/>
  <c r="G35" i="1"/>
  <c r="AR19" i="1"/>
  <c r="AR17" i="1"/>
  <c r="AR36" i="1"/>
  <c r="AR32" i="1"/>
  <c r="AR28" i="1"/>
  <c r="AR24" i="1"/>
  <c r="AR20" i="1"/>
  <c r="AR16" i="1"/>
  <c r="AR31" i="1"/>
  <c r="AR35" i="1"/>
  <c r="AR27" i="1"/>
  <c r="AR23" i="1"/>
  <c r="AR15" i="1"/>
  <c r="AR26" i="1"/>
  <c r="AR22" i="1"/>
  <c r="AR18" i="1"/>
  <c r="AR14" i="1"/>
  <c r="BE34" i="1"/>
  <c r="AR34" i="1"/>
  <c r="BE30" i="1"/>
  <c r="AR30" i="1"/>
  <c r="BE29" i="1"/>
  <c r="AR29" i="1"/>
  <c r="BE33" i="1"/>
  <c r="AR33" i="1"/>
  <c r="BE25" i="1"/>
  <c r="AR25" i="1"/>
  <c r="BE21" i="1"/>
  <c r="AR21" i="1"/>
  <c r="BC41" i="1"/>
  <c r="BJ15" i="1"/>
  <c r="BJ17" i="1"/>
  <c r="BG17" i="1"/>
  <c r="BJ20" i="1"/>
  <c r="BG20" i="1"/>
  <c r="BJ22" i="1"/>
  <c r="BG22" i="1"/>
  <c r="BJ24" i="1"/>
  <c r="BG24" i="1"/>
  <c r="BJ26" i="1"/>
  <c r="BG26" i="1"/>
  <c r="BJ28" i="1"/>
  <c r="BG28" i="1"/>
  <c r="BJ30" i="1"/>
  <c r="BG30" i="1"/>
  <c r="BJ32" i="1"/>
  <c r="BG32" i="1"/>
  <c r="BJ34" i="1"/>
  <c r="BG34" i="1"/>
  <c r="BJ36" i="1"/>
  <c r="BI39" i="1"/>
  <c r="BJ23" i="1"/>
  <c r="BG23" i="1"/>
  <c r="BJ25" i="1"/>
  <c r="BG25" i="1"/>
  <c r="BJ29" i="1"/>
  <c r="BG29" i="1"/>
  <c r="BG36" i="1"/>
  <c r="BE19" i="1"/>
  <c r="AY48" i="1"/>
  <c r="BD19" i="1"/>
  <c r="BD41" i="1"/>
  <c r="AX48" i="1"/>
  <c r="AO67" i="1"/>
  <c r="AO69" i="1"/>
  <c r="AO68" i="1"/>
  <c r="AP66" i="1"/>
  <c r="AQ66" i="1"/>
  <c r="AP67" i="1"/>
  <c r="AO66" i="1"/>
  <c r="J33" i="1"/>
  <c r="AZ33" i="1"/>
  <c r="K33" i="1"/>
  <c r="J35" i="1"/>
  <c r="AZ35" i="1"/>
  <c r="K35" i="1"/>
  <c r="J19" i="1"/>
  <c r="AZ19" i="1"/>
  <c r="K19" i="1"/>
  <c r="J31" i="1"/>
  <c r="AZ31" i="1"/>
  <c r="K31" i="1"/>
  <c r="J14" i="1"/>
  <c r="AZ14" i="1"/>
  <c r="K14" i="1"/>
  <c r="J21" i="1"/>
  <c r="AZ21" i="1"/>
  <c r="K21" i="1"/>
  <c r="J16" i="1"/>
  <c r="AZ16" i="1"/>
  <c r="K16" i="1"/>
  <c r="J27" i="1"/>
  <c r="AZ27" i="1"/>
  <c r="K27" i="1"/>
  <c r="BE41" i="1"/>
  <c r="BG15" i="1"/>
  <c r="BH15" i="1"/>
  <c r="AQ68" i="1"/>
  <c r="AP68" i="1"/>
  <c r="BI16" i="1"/>
  <c r="BJ16" i="1"/>
  <c r="BI14" i="1"/>
  <c r="BJ14" i="1"/>
  <c r="BI19" i="1"/>
  <c r="BJ19" i="1"/>
  <c r="BI33" i="1"/>
  <c r="BJ33" i="1"/>
  <c r="BI27" i="1"/>
  <c r="BJ27" i="1"/>
  <c r="BI21" i="1"/>
  <c r="BJ21" i="1"/>
  <c r="BI31" i="1"/>
  <c r="BJ31" i="1"/>
  <c r="BI35" i="1"/>
  <c r="BJ35" i="1"/>
  <c r="BG35" i="1"/>
  <c r="BG21" i="1"/>
  <c r="BG33" i="1"/>
  <c r="BG14" i="1"/>
  <c r="BH14" i="1"/>
  <c r="BG31" i="1"/>
  <c r="BG27" i="1"/>
  <c r="BG19" i="1"/>
  <c r="BG16" i="1"/>
</calcChain>
</file>

<file path=xl/sharedStrings.xml><?xml version="1.0" encoding="utf-8"?>
<sst xmlns="http://schemas.openxmlformats.org/spreadsheetml/2006/main" count="226" uniqueCount="152">
  <si>
    <t>Ag</t>
  </si>
  <si>
    <t>Au</t>
  </si>
  <si>
    <t>Al</t>
  </si>
  <si>
    <t>Si</t>
  </si>
  <si>
    <t>SiO2</t>
  </si>
  <si>
    <t>Al2O3</t>
  </si>
  <si>
    <t>Cu</t>
  </si>
  <si>
    <t>Ti</t>
  </si>
  <si>
    <t>Fe</t>
  </si>
  <si>
    <t>Ge</t>
  </si>
  <si>
    <t>Nb</t>
  </si>
  <si>
    <t>W</t>
  </si>
  <si>
    <t>Ta2O5</t>
  </si>
  <si>
    <t>A_sputter [mm^2]</t>
  </si>
  <si>
    <t>rho [g/cc]</t>
  </si>
  <si>
    <t>M [g/mol]</t>
  </si>
  <si>
    <t>Lo</t>
  </si>
  <si>
    <t>Med</t>
  </si>
  <si>
    <t>Hi</t>
  </si>
  <si>
    <t>angle factor</t>
  </si>
  <si>
    <t>Ion Energy [eV]</t>
  </si>
  <si>
    <t>Material</t>
  </si>
  <si>
    <t>E_Ion [eV]</t>
  </si>
  <si>
    <t>I_Ion avg [uA]</t>
  </si>
  <si>
    <t>I_Ion max [uA]</t>
  </si>
  <si>
    <t>tabulated data</t>
  </si>
  <si>
    <t>extrapolated from Yield at 500 eV</t>
  </si>
  <si>
    <t>= 2*(Raster size)^2</t>
  </si>
  <si>
    <t>Time</t>
  </si>
  <si>
    <t>Etch rate</t>
  </si>
  <si>
    <t>d_Final</t>
  </si>
  <si>
    <t>d_Init</t>
  </si>
  <si>
    <t>SiO2-1</t>
  </si>
  <si>
    <t>SiO2-2</t>
  </si>
  <si>
    <t>SiO2+Si</t>
  </si>
  <si>
    <t>SiO2-3</t>
  </si>
  <si>
    <r>
      <t>mA/cm</t>
    </r>
    <r>
      <rPr>
        <vertAlign val="superscript"/>
        <sz val="11"/>
        <color theme="1"/>
        <rFont val="Calibri"/>
        <family val="2"/>
        <scheme val="minor"/>
      </rPr>
      <t>2</t>
    </r>
  </si>
  <si>
    <t>Ni</t>
  </si>
  <si>
    <t>Cr</t>
  </si>
  <si>
    <t>Mo</t>
  </si>
  <si>
    <t>Ta</t>
  </si>
  <si>
    <t>I</t>
  </si>
  <si>
    <t>A</t>
  </si>
  <si>
    <t>Y(E)/Y(3000)</t>
  </si>
  <si>
    <t>Co</t>
  </si>
  <si>
    <t>Pt</t>
  </si>
  <si>
    <t>IMFP [nm]</t>
  </si>
  <si>
    <t>Seah &amp; Dench (1979)</t>
  </si>
  <si>
    <t>R_atom [nm]</t>
  </si>
  <si>
    <t>V_atom [nm^3]</t>
  </si>
  <si>
    <t>E_e- [eV]</t>
  </si>
  <si>
    <t>MgO</t>
  </si>
  <si>
    <t>Pd</t>
  </si>
  <si>
    <t>GaN</t>
  </si>
  <si>
    <t>x-ray angle of inc [deg]</t>
  </si>
  <si>
    <t>Film thickness [nm]</t>
  </si>
  <si>
    <t>mu</t>
  </si>
  <si>
    <t>2keV</t>
  </si>
  <si>
    <t>1keV</t>
  </si>
  <si>
    <t>alpha</t>
  </si>
  <si>
    <t>tilt angle [deg]</t>
  </si>
  <si>
    <t>theta [deg]</t>
  </si>
  <si>
    <t>alpha [nm^-1]</t>
  </si>
  <si>
    <t>n</t>
  </si>
  <si>
    <t>Sigma</t>
  </si>
  <si>
    <t>C</t>
  </si>
  <si>
    <t>Signal_layer:Signal_Substrate</t>
  </si>
  <si>
    <t>~1.5keV</t>
  </si>
  <si>
    <t>Mg</t>
  </si>
  <si>
    <t>Raster size [mm]</t>
  </si>
  <si>
    <t>V^(1/3) [nm]</t>
  </si>
  <si>
    <t>Inputs - Variables to be entered</t>
  </si>
  <si>
    <r>
      <t>Outputs/Reference values -</t>
    </r>
    <r>
      <rPr>
        <b/>
        <u/>
        <sz val="11"/>
        <color theme="1"/>
        <rFont val="Calibri"/>
        <family val="2"/>
        <scheme val="minor"/>
      </rPr>
      <t xml:space="preserve"> DO NOT CHANGE THESE</t>
    </r>
  </si>
  <si>
    <t>angle from the normal</t>
  </si>
  <si>
    <t>335 Prior</t>
  </si>
  <si>
    <t>335-4 China 1</t>
  </si>
  <si>
    <t>335-3 China 2</t>
  </si>
  <si>
    <t>334-3 Bad</t>
  </si>
  <si>
    <t>334-4 Good</t>
  </si>
  <si>
    <t>Th [nm]</t>
  </si>
  <si>
    <t>T_xover</t>
  </si>
  <si>
    <t>Etch rate [nm/s]</t>
  </si>
  <si>
    <t>Etch/cycle</t>
  </si>
  <si>
    <t>Etch total</t>
  </si>
  <si>
    <t>Oxide layer fraction [%]</t>
  </si>
  <si>
    <t>Metal substrate fraction [%]</t>
  </si>
  <si>
    <t>Intensity Ratio Oxide:Metal</t>
  </si>
  <si>
    <t>Lambda_1 [nm]</t>
  </si>
  <si>
    <t>Lambda_2 [nm]</t>
  </si>
  <si>
    <t>KI</t>
  </si>
  <si>
    <t>NaCl</t>
  </si>
  <si>
    <t>NaF</t>
  </si>
  <si>
    <t>Thickness [nm]</t>
  </si>
  <si>
    <t>Al2O3 on Al</t>
  </si>
  <si>
    <t>SiO2 on Si</t>
  </si>
  <si>
    <t>C_0</t>
  </si>
  <si>
    <t>C_1</t>
  </si>
  <si>
    <t>M/rho [cc/ mole]</t>
  </si>
  <si>
    <t>rho_ molec [#/ cm^3]</t>
  </si>
  <si>
    <t>ATS-3</t>
  </si>
  <si>
    <t>ATS-1</t>
  </si>
  <si>
    <t>ATS-2</t>
  </si>
  <si>
    <t>ATS-4</t>
  </si>
  <si>
    <t>Al oxide (%)</t>
  </si>
  <si>
    <t>Al metal (%)</t>
  </si>
  <si>
    <t>Ion Energy</t>
  </si>
  <si>
    <t>Layer Thickness [nm]</t>
  </si>
  <si>
    <t>Lambda [nm] @1kV Seah and Dench, Surf and Interface Analy, 1, 2-11, 1979.</t>
  </si>
  <si>
    <t>Time to Sputter [s]</t>
  </si>
  <si>
    <r>
      <t>I_ion [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A]</t>
    </r>
  </si>
  <si>
    <t>Y</t>
  </si>
  <si>
    <t>1</t>
  </si>
  <si>
    <t>N_A</t>
  </si>
  <si>
    <t>e</t>
  </si>
  <si>
    <t>I_ion</t>
  </si>
  <si>
    <t>T_melt [K]</t>
  </si>
  <si>
    <t>rho</t>
  </si>
  <si>
    <t>M</t>
  </si>
  <si>
    <t>atoms</t>
  </si>
  <si>
    <t>s*cm^2</t>
  </si>
  <si>
    <t>TiO2</t>
  </si>
  <si>
    <t>areal density [#/ cm^2]</t>
  </si>
  <si>
    <t>Vol_molec[nm^3]</t>
  </si>
  <si>
    <t>Poisson's ratio</t>
  </si>
  <si>
    <t>Knoop hardness [Gpa]</t>
  </si>
  <si>
    <t>Mohs hardness</t>
  </si>
  <si>
    <t>Pauling E-neg</t>
  </si>
  <si>
    <t>H_fus [kJ/mol]</t>
  </si>
  <si>
    <t>H_atom [kJ/mol]</t>
  </si>
  <si>
    <t>0.45*sqrt((2*E_ion*M_Ar)^0.95)/sqrt(T)</t>
  </si>
  <si>
    <t>Sputter Yield for Ar+ ions at Normal Incidence    [#atoms/ion]</t>
  </si>
  <si>
    <t xml:space="preserve">Approximate Sputter Rate for Thermo K-Alpha XPS (+/- 20%)  [nm/s] </t>
  </si>
  <si>
    <t>T_melt</t>
  </si>
  <si>
    <t>H_fus</t>
  </si>
  <si>
    <t>e_affinity</t>
  </si>
  <si>
    <t>e affinity [kJ/mol]</t>
  </si>
  <si>
    <t>E-negativ</t>
  </si>
  <si>
    <t>Ti, Fe, Ta</t>
  </si>
  <si>
    <t>Au, Pt</t>
  </si>
  <si>
    <t>Cr, Ta, Nb</t>
  </si>
  <si>
    <t>Too High</t>
  </si>
  <si>
    <t>Too Low</t>
  </si>
  <si>
    <t>Al, Au, C, Ti</t>
  </si>
  <si>
    <t>Cr, Ta, Nb, Ge</t>
  </si>
  <si>
    <t>Al, Au, C</t>
  </si>
  <si>
    <t>Ion Current [uA]</t>
  </si>
  <si>
    <t>Watts et al. 500 eV</t>
  </si>
  <si>
    <t>Cr, Ge, Ta</t>
  </si>
  <si>
    <t>Index of refraction</t>
  </si>
  <si>
    <t>Cross section</t>
  </si>
  <si>
    <t>Attenuation coefficient</t>
  </si>
  <si>
    <t>Angle from the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</si>
</sst>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1" fontId="0" fillId="0" borderId="0" xfId="0" applyNumberFormat="1"/>
    <xf numFmtId="164" fontId="0" fillId="3" borderId="0" xfId="0" applyNumberFormat="1" applyFill="1"/>
    <xf numFmtId="0" fontId="3" fillId="0" borderId="0" xfId="0" applyFont="1"/>
    <xf numFmtId="2" fontId="3" fillId="0" borderId="0" xfId="0" applyNumberFormat="1" applyFont="1"/>
    <xf numFmtId="0" fontId="0" fillId="3" borderId="0" xfId="0" applyFill="1"/>
    <xf numFmtId="2" fontId="0" fillId="3" borderId="0" xfId="0" applyNumberFormat="1" applyFill="1"/>
    <xf numFmtId="0" fontId="1" fillId="3" borderId="0" xfId="0" applyFont="1" applyFill="1"/>
    <xf numFmtId="164" fontId="4" fillId="3" borderId="0" xfId="0" applyNumberFormat="1" applyFont="1" applyFill="1"/>
    <xf numFmtId="11" fontId="0" fillId="4" borderId="0" xfId="0" applyNumberFormat="1" applyFill="1"/>
    <xf numFmtId="0" fontId="4" fillId="3" borderId="0" xfId="0" applyFont="1" applyFill="1"/>
    <xf numFmtId="2" fontId="0" fillId="4" borderId="0" xfId="0" applyNumberFormat="1" applyFill="1"/>
    <xf numFmtId="0" fontId="6" fillId="0" borderId="0" xfId="0" applyFont="1"/>
    <xf numFmtId="164" fontId="8" fillId="3" borderId="0" xfId="0" applyNumberFormat="1" applyFont="1" applyFill="1"/>
    <xf numFmtId="0" fontId="9" fillId="0" borderId="0" xfId="0" applyFont="1"/>
    <xf numFmtId="0" fontId="7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0" fontId="10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2" fillId="0" borderId="0" xfId="0" applyFont="1" applyFill="1" applyBorder="1"/>
    <xf numFmtId="0" fontId="0" fillId="0" borderId="0" xfId="0" quotePrefix="1" applyAlignment="1">
      <alignment wrapText="1"/>
    </xf>
    <xf numFmtId="0" fontId="0" fillId="0" borderId="0" xfId="0" quotePrefix="1"/>
    <xf numFmtId="2" fontId="0" fillId="5" borderId="0" xfId="0" applyNumberFormat="1" applyFill="1"/>
    <xf numFmtId="2" fontId="0" fillId="0" borderId="0" xfId="0" applyNumberFormat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horizontal="center"/>
    </xf>
    <xf numFmtId="0" fontId="13" fillId="0" borderId="0" xfId="0" applyFont="1" applyAlignment="1">
      <alignment horizontal="center" vertical="top" wrapText="1"/>
    </xf>
    <xf numFmtId="1" fontId="13" fillId="0" borderId="0" xfId="0" applyNumberFormat="1" applyFont="1" applyAlignment="1">
      <alignment horizontal="center" vertical="top" wrapText="1"/>
    </xf>
    <xf numFmtId="0" fontId="13" fillId="5" borderId="0" xfId="0" applyFont="1" applyFill="1" applyAlignment="1">
      <alignment horizontal="center" vertical="top" wrapText="1"/>
    </xf>
    <xf numFmtId="11" fontId="0" fillId="0" borderId="0" xfId="0" applyNumberFormat="1" applyAlignment="1">
      <alignment wrapText="1"/>
    </xf>
    <xf numFmtId="0" fontId="0" fillId="5" borderId="0" xfId="0" applyFill="1" applyAlignment="1">
      <alignment wrapText="1"/>
    </xf>
    <xf numFmtId="0" fontId="10" fillId="0" borderId="0" xfId="0" applyFont="1" applyAlignment="1">
      <alignment horizontal="center" wrapText="1"/>
    </xf>
    <xf numFmtId="0" fontId="0" fillId="5" borderId="0" xfId="0" applyFill="1" applyAlignment="1">
      <alignment horizontal="center" wrapText="1"/>
    </xf>
    <xf numFmtId="2" fontId="10" fillId="0" borderId="0" xfId="0" applyNumberFormat="1" applyFont="1"/>
    <xf numFmtId="0" fontId="10" fillId="0" borderId="0" xfId="0" applyFont="1"/>
    <xf numFmtId="0" fontId="13" fillId="0" borderId="0" xfId="0" applyFont="1" applyAlignment="1">
      <alignment vertical="top" wrapText="1"/>
    </xf>
    <xf numFmtId="0" fontId="7" fillId="0" borderId="0" xfId="0" applyFont="1"/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12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3.5593220338983052E-2"/>
          <c:w val="0.82316442605997964"/>
          <c:h val="0.89491525423728813"/>
        </c:manualLayout>
      </c:layout>
      <c:scatterChart>
        <c:scatterStyle val="smoothMarker"/>
        <c:varyColors val="0"/>
        <c:ser>
          <c:idx val="0"/>
          <c:order val="0"/>
          <c:tx>
            <c:v>Si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Sheet1!$AH$10:$AO$10</c:f>
              <c:numCache>
                <c:formatCode>General</c:formatCode>
                <c:ptCount val="8"/>
                <c:pt idx="0">
                  <c:v>200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 formatCode="0">
                  <c:v>3000</c:v>
                </c:pt>
                <c:pt idx="5">
                  <c:v>3500</c:v>
                </c:pt>
                <c:pt idx="6">
                  <c:v>5000</c:v>
                </c:pt>
                <c:pt idx="7">
                  <c:v>10000</c:v>
                </c:pt>
              </c:numCache>
            </c:numRef>
          </c:xVal>
          <c:yVal>
            <c:numRef>
              <c:f>Sheet1!$AH$31:$AO$31</c:f>
              <c:numCache>
                <c:formatCode>0.000</c:formatCode>
                <c:ptCount val="8"/>
                <c:pt idx="0">
                  <c:v>3.1195302458623352E-2</c:v>
                </c:pt>
                <c:pt idx="1">
                  <c:v>7.2789039070121145E-2</c:v>
                </c:pt>
                <c:pt idx="2">
                  <c:v>0.12131506511686857</c:v>
                </c:pt>
                <c:pt idx="3">
                  <c:v>0.17330723588124083</c:v>
                </c:pt>
                <c:pt idx="4">
                  <c:v>0.20796868305748897</c:v>
                </c:pt>
                <c:pt idx="5">
                  <c:v>0.20796868305748897</c:v>
                </c:pt>
                <c:pt idx="6">
                  <c:v>0.24263013023373714</c:v>
                </c:pt>
                <c:pt idx="7">
                  <c:v>0.25996085382186124</c:v>
                </c:pt>
              </c:numCache>
            </c:numRef>
          </c:yVal>
          <c:smooth val="1"/>
        </c:ser>
        <c:ser>
          <c:idx val="1"/>
          <c:order val="1"/>
          <c:tx>
            <c:v>Sq rt fit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Sheet1!$AH$10:$AO$10</c:f>
              <c:numCache>
                <c:formatCode>General</c:formatCode>
                <c:ptCount val="8"/>
                <c:pt idx="0">
                  <c:v>200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 formatCode="0">
                  <c:v>3000</c:v>
                </c:pt>
                <c:pt idx="5">
                  <c:v>3500</c:v>
                </c:pt>
                <c:pt idx="6">
                  <c:v>5000</c:v>
                </c:pt>
                <c:pt idx="7">
                  <c:v>10000</c:v>
                </c:pt>
              </c:numCache>
            </c:numRef>
          </c:xVal>
          <c:yVal>
            <c:numRef>
              <c:f>Sheet1!$AH$94:$AO$94</c:f>
              <c:numCache>
                <c:formatCode>General</c:formatCode>
                <c:ptCount val="8"/>
                <c:pt idx="0">
                  <c:v>1.6970643482522591E-3</c:v>
                </c:pt>
                <c:pt idx="1">
                  <c:v>1.7261064260024851E-3</c:v>
                </c:pt>
                <c:pt idx="2">
                  <c:v>1.7484056405934229E-3</c:v>
                </c:pt>
                <c:pt idx="3">
                  <c:v>1.7709929341601879E-3</c:v>
                </c:pt>
                <c:pt idx="4">
                  <c:v>1.7843406837613918E-3</c:v>
                </c:pt>
                <c:pt idx="5">
                  <c:v>1.7894416152135684E-3</c:v>
                </c:pt>
                <c:pt idx="6">
                  <c:v>1.8013001611913552E-3</c:v>
                </c:pt>
                <c:pt idx="7">
                  <c:v>1.8245707882117994E-3</c:v>
                </c:pt>
              </c:numCache>
            </c:numRef>
          </c:yVal>
          <c:smooth val="1"/>
        </c:ser>
        <c:ser>
          <c:idx val="2"/>
          <c:order val="2"/>
          <c:tx>
            <c:v>Cube rt fit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Sheet1!$AH$10:$AO$10</c:f>
              <c:numCache>
                <c:formatCode>General</c:formatCode>
                <c:ptCount val="8"/>
                <c:pt idx="0">
                  <c:v>200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 formatCode="0">
                  <c:v>3000</c:v>
                </c:pt>
                <c:pt idx="5">
                  <c:v>3500</c:v>
                </c:pt>
                <c:pt idx="6">
                  <c:v>5000</c:v>
                </c:pt>
                <c:pt idx="7">
                  <c:v>10000</c:v>
                </c:pt>
              </c:numCache>
            </c:numRef>
          </c:xVal>
          <c:yVal>
            <c:numRef>
              <c:f>Sheet1!$AH$95:$AO$95</c:f>
              <c:numCache>
                <c:formatCode>General</c:formatCode>
                <c:ptCount val="8"/>
                <c:pt idx="0">
                  <c:v>9.7158152221720352E-3</c:v>
                </c:pt>
                <c:pt idx="1">
                  <c:v>9.8790348975745044E-3</c:v>
                </c:pt>
                <c:pt idx="2">
                  <c:v>1.0004325010745729E-2</c:v>
                </c:pt>
                <c:pt idx="3">
                  <c:v>1.0131204106304527E-2</c:v>
                </c:pt>
                <c:pt idx="4">
                  <c:v>1.0206168265770784E-2</c:v>
                </c:pt>
                <c:pt idx="5">
                  <c:v>1.0234813622058683E-2</c:v>
                </c:pt>
                <c:pt idx="6">
                  <c:v>1.03014020575679E-2</c:v>
                </c:pt>
                <c:pt idx="7">
                  <c:v>1.0432048810312122E-2</c:v>
                </c:pt>
              </c:numCache>
            </c:numRef>
          </c:yVal>
          <c:smooth val="1"/>
        </c:ser>
        <c:ser>
          <c:idx val="3"/>
          <c:order val="3"/>
          <c:tx>
            <c:v>4th rt fit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Sheet1!$AH$10:$AO$10</c:f>
              <c:numCache>
                <c:formatCode>General</c:formatCode>
                <c:ptCount val="8"/>
                <c:pt idx="0">
                  <c:v>200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 formatCode="0">
                  <c:v>3000</c:v>
                </c:pt>
                <c:pt idx="5">
                  <c:v>3500</c:v>
                </c:pt>
                <c:pt idx="6">
                  <c:v>5000</c:v>
                </c:pt>
                <c:pt idx="7">
                  <c:v>10000</c:v>
                </c:pt>
              </c:numCache>
            </c:numRef>
          </c:xVal>
          <c:yVal>
            <c:numRef>
              <c:f>Sheet1!$AH$96:$AO$96</c:f>
              <c:numCache>
                <c:formatCode>General</c:formatCode>
                <c:ptCount val="8"/>
                <c:pt idx="0">
                  <c:v>2.1984663215203263E-2</c:v>
                </c:pt>
                <c:pt idx="1">
                  <c:v>2.2347342678373017E-2</c:v>
                </c:pt>
                <c:pt idx="2">
                  <c:v>2.2625668732640401E-2</c:v>
                </c:pt>
                <c:pt idx="3">
                  <c:v>2.2907461212137794E-2</c:v>
                </c:pt>
                <c:pt idx="4">
                  <c:v>2.3073923405320031E-2</c:v>
                </c:pt>
                <c:pt idx="5">
                  <c:v>2.3137526279307506E-2</c:v>
                </c:pt>
                <c:pt idx="6">
                  <c:v>2.328536400981426E-2</c:v>
                </c:pt>
                <c:pt idx="7">
                  <c:v>2.3575372695871746E-2</c:v>
                </c:pt>
              </c:numCache>
            </c:numRef>
          </c:yVal>
          <c:smooth val="1"/>
        </c:ser>
        <c:ser>
          <c:idx val="4"/>
          <c:order val="4"/>
          <c:tx>
            <c:v>exp fit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Sheet1!$AH$10:$AO$10</c:f>
              <c:numCache>
                <c:formatCode>General</c:formatCode>
                <c:ptCount val="8"/>
                <c:pt idx="0">
                  <c:v>200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 formatCode="0">
                  <c:v>3000</c:v>
                </c:pt>
                <c:pt idx="5">
                  <c:v>3500</c:v>
                </c:pt>
                <c:pt idx="6">
                  <c:v>5000</c:v>
                </c:pt>
                <c:pt idx="7">
                  <c:v>10000</c:v>
                </c:pt>
              </c:numCache>
            </c:numRef>
          </c:xVal>
          <c:yVal>
            <c:numRef>
              <c:f>Sheet1!$AH$97:$AO$97</c:f>
              <c:numCache>
                <c:formatCode>General</c:formatCode>
                <c:ptCount val="8"/>
                <c:pt idx="0">
                  <c:v>2.295206562088203E-2</c:v>
                </c:pt>
                <c:pt idx="1">
                  <c:v>5.4233580236033842E-2</c:v>
                </c:pt>
                <c:pt idx="2">
                  <c:v>9.8979156519750533E-2</c:v>
                </c:pt>
                <c:pt idx="3">
                  <c:v>0.16635549553833565</c:v>
                </c:pt>
                <c:pt idx="4">
                  <c:v>0.2122194048619262</c:v>
                </c:pt>
                <c:pt idx="5">
                  <c:v>0.22932582986820965</c:v>
                </c:pt>
                <c:pt idx="6">
                  <c:v>0.26469146730782184</c:v>
                </c:pt>
                <c:pt idx="7">
                  <c:v>0.30337786085574781</c:v>
                </c:pt>
              </c:numCache>
            </c:numRef>
          </c:yVal>
          <c:smooth val="1"/>
        </c:ser>
        <c:ser>
          <c:idx val="5"/>
          <c:order val="5"/>
          <c:tx>
            <c:v>Ag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Sheet1!$AH$10:$AO$10</c:f>
              <c:numCache>
                <c:formatCode>General</c:formatCode>
                <c:ptCount val="8"/>
                <c:pt idx="0">
                  <c:v>200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 formatCode="0">
                  <c:v>3000</c:v>
                </c:pt>
                <c:pt idx="5">
                  <c:v>3500</c:v>
                </c:pt>
                <c:pt idx="6">
                  <c:v>5000</c:v>
                </c:pt>
                <c:pt idx="7">
                  <c:v>10000</c:v>
                </c:pt>
              </c:numCache>
            </c:numRef>
          </c:xVal>
          <c:yVal>
            <c:numRef>
              <c:f>Sheet1!$AH$14:$AO$14</c:f>
              <c:numCache>
                <c:formatCode>0.000</c:formatCode>
                <c:ptCount val="8"/>
                <c:pt idx="0">
                  <c:v>0.17716838284588843</c:v>
                </c:pt>
                <c:pt idx="1">
                  <c:v>0.35433676569177686</c:v>
                </c:pt>
                <c:pt idx="2">
                  <c:v>0.51674111663384126</c:v>
                </c:pt>
                <c:pt idx="3">
                  <c:v>0.73820159519120188</c:v>
                </c:pt>
                <c:pt idx="4">
                  <c:v>0.88584191422944214</c:v>
                </c:pt>
                <c:pt idx="5">
                  <c:v>0.95966207374856238</c:v>
                </c:pt>
                <c:pt idx="6">
                  <c:v>1.1811225523059228</c:v>
                </c:pt>
                <c:pt idx="7">
                  <c:v>1.4764031903824038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412648"/>
        <c:axId val="392405592"/>
      </c:scatterChart>
      <c:valAx>
        <c:axId val="39241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05592"/>
        <c:crosses val="autoZero"/>
        <c:crossBetween val="midCat"/>
      </c:valAx>
      <c:valAx>
        <c:axId val="392405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12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03102378490153"/>
          <c:y val="0.37627118644067797"/>
          <c:w val="8.5832471561530524E-2"/>
          <c:h val="0.27853107344632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5647041719639446E-2"/>
                  <c:y val="-7.886090338491781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/>
                      <a:t>y = 0.1908x + 101.69</a:t>
                    </a:r>
                    <a:br>
                      <a:rPr lang="en-US" sz="1000" baseline="0"/>
                    </a:br>
                    <a:r>
                      <a:rPr lang="en-US" sz="1000" baseline="0"/>
                      <a:t>R² = 0.8768</a:t>
                    </a:r>
                    <a:endParaRPr lang="en-US" sz="1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Sheet1!$L$14:$L$36</c:f>
              <c:numCache>
                <c:formatCode>General</c:formatCode>
                <c:ptCount val="23"/>
                <c:pt idx="0">
                  <c:v>1235</c:v>
                </c:pt>
                <c:pt idx="1">
                  <c:v>930</c:v>
                </c:pt>
                <c:pt idx="2">
                  <c:v>2325</c:v>
                </c:pt>
                <c:pt idx="3">
                  <c:v>1337</c:v>
                </c:pt>
                <c:pt idx="4">
                  <c:v>3800</c:v>
                </c:pt>
                <c:pt idx="5">
                  <c:v>1768</c:v>
                </c:pt>
                <c:pt idx="6">
                  <c:v>2180</c:v>
                </c:pt>
                <c:pt idx="7">
                  <c:v>1358</c:v>
                </c:pt>
                <c:pt idx="8">
                  <c:v>1811</c:v>
                </c:pt>
                <c:pt idx="9">
                  <c:v>2000</c:v>
                </c:pt>
                <c:pt idx="10">
                  <c:v>1211</c:v>
                </c:pt>
                <c:pt idx="11">
                  <c:v>3100</c:v>
                </c:pt>
                <c:pt idx="12">
                  <c:v>2896</c:v>
                </c:pt>
                <c:pt idx="13">
                  <c:v>2750</c:v>
                </c:pt>
                <c:pt idx="14">
                  <c:v>1728</c:v>
                </c:pt>
                <c:pt idx="15">
                  <c:v>1828</c:v>
                </c:pt>
                <c:pt idx="16">
                  <c:v>2041</c:v>
                </c:pt>
                <c:pt idx="17">
                  <c:v>1687</c:v>
                </c:pt>
                <c:pt idx="18">
                  <c:v>1980</c:v>
                </c:pt>
                <c:pt idx="19">
                  <c:v>3290</c:v>
                </c:pt>
                <c:pt idx="20">
                  <c:v>2150</c:v>
                </c:pt>
                <c:pt idx="21">
                  <c:v>1941</c:v>
                </c:pt>
                <c:pt idx="22">
                  <c:v>3695</c:v>
                </c:pt>
              </c:numCache>
            </c:numRef>
          </c:xVal>
          <c:yVal>
            <c:numRef>
              <c:f>Sheet1!$N$14:$N$36</c:f>
              <c:numCache>
                <c:formatCode>General</c:formatCode>
                <c:ptCount val="23"/>
                <c:pt idx="0">
                  <c:v>285</c:v>
                </c:pt>
                <c:pt idx="1">
                  <c:v>326</c:v>
                </c:pt>
                <c:pt idx="3">
                  <c:v>368</c:v>
                </c:pt>
                <c:pt idx="4">
                  <c:v>717</c:v>
                </c:pt>
                <c:pt idx="5">
                  <c:v>426</c:v>
                </c:pt>
                <c:pt idx="6">
                  <c:v>397</c:v>
                </c:pt>
                <c:pt idx="7">
                  <c:v>338</c:v>
                </c:pt>
                <c:pt idx="8">
                  <c:v>415</c:v>
                </c:pt>
                <c:pt idx="10">
                  <c:v>377</c:v>
                </c:pt>
                <c:pt idx="12">
                  <c:v>659</c:v>
                </c:pt>
                <c:pt idx="13">
                  <c:v>733</c:v>
                </c:pt>
                <c:pt idx="14">
                  <c:v>431</c:v>
                </c:pt>
                <c:pt idx="15">
                  <c:v>377</c:v>
                </c:pt>
                <c:pt idx="16">
                  <c:v>565</c:v>
                </c:pt>
                <c:pt idx="17">
                  <c:v>456</c:v>
                </c:pt>
                <c:pt idx="19">
                  <c:v>782</c:v>
                </c:pt>
                <c:pt idx="21">
                  <c:v>471</c:v>
                </c:pt>
                <c:pt idx="22">
                  <c:v>860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679744"/>
        <c:axId val="317680920"/>
      </c:scatterChar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4.7862263175151007E-2"/>
                  <c:y val="0.144289159369714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Sheet1!$L$14:$L$36</c:f>
              <c:numCache>
                <c:formatCode>General</c:formatCode>
                <c:ptCount val="23"/>
                <c:pt idx="0">
                  <c:v>1235</c:v>
                </c:pt>
                <c:pt idx="1">
                  <c:v>930</c:v>
                </c:pt>
                <c:pt idx="2">
                  <c:v>2325</c:v>
                </c:pt>
                <c:pt idx="3">
                  <c:v>1337</c:v>
                </c:pt>
                <c:pt idx="4">
                  <c:v>3800</c:v>
                </c:pt>
                <c:pt idx="5">
                  <c:v>1768</c:v>
                </c:pt>
                <c:pt idx="6">
                  <c:v>2180</c:v>
                </c:pt>
                <c:pt idx="7">
                  <c:v>1358</c:v>
                </c:pt>
                <c:pt idx="8">
                  <c:v>1811</c:v>
                </c:pt>
                <c:pt idx="9">
                  <c:v>2000</c:v>
                </c:pt>
                <c:pt idx="10">
                  <c:v>1211</c:v>
                </c:pt>
                <c:pt idx="11">
                  <c:v>3100</c:v>
                </c:pt>
                <c:pt idx="12">
                  <c:v>2896</c:v>
                </c:pt>
                <c:pt idx="13">
                  <c:v>2750</c:v>
                </c:pt>
                <c:pt idx="14">
                  <c:v>1728</c:v>
                </c:pt>
                <c:pt idx="15">
                  <c:v>1828</c:v>
                </c:pt>
                <c:pt idx="16">
                  <c:v>2041</c:v>
                </c:pt>
                <c:pt idx="17">
                  <c:v>1687</c:v>
                </c:pt>
                <c:pt idx="18">
                  <c:v>1980</c:v>
                </c:pt>
                <c:pt idx="19">
                  <c:v>3290</c:v>
                </c:pt>
                <c:pt idx="20">
                  <c:v>2150</c:v>
                </c:pt>
                <c:pt idx="21">
                  <c:v>1941</c:v>
                </c:pt>
                <c:pt idx="22">
                  <c:v>3695</c:v>
                </c:pt>
              </c:numCache>
            </c:numRef>
          </c:xVal>
          <c:yVal>
            <c:numRef>
              <c:f>Sheet1!$M$14:$M$36</c:f>
              <c:numCache>
                <c:formatCode>General</c:formatCode>
                <c:ptCount val="23"/>
                <c:pt idx="0">
                  <c:v>11.3</c:v>
                </c:pt>
                <c:pt idx="1">
                  <c:v>10.7</c:v>
                </c:pt>
                <c:pt idx="2">
                  <c:v>135</c:v>
                </c:pt>
                <c:pt idx="3">
                  <c:v>12.5</c:v>
                </c:pt>
                <c:pt idx="4">
                  <c:v>117</c:v>
                </c:pt>
                <c:pt idx="5">
                  <c:v>16.2</c:v>
                </c:pt>
                <c:pt idx="6">
                  <c:v>20.5</c:v>
                </c:pt>
                <c:pt idx="7">
                  <c:v>13.1</c:v>
                </c:pt>
                <c:pt idx="8">
                  <c:v>13.8</c:v>
                </c:pt>
                <c:pt idx="10">
                  <c:v>31.8</c:v>
                </c:pt>
                <c:pt idx="11">
                  <c:v>57.6</c:v>
                </c:pt>
                <c:pt idx="12">
                  <c:v>36</c:v>
                </c:pt>
                <c:pt idx="13">
                  <c:v>26.8</c:v>
                </c:pt>
                <c:pt idx="14">
                  <c:v>17.2</c:v>
                </c:pt>
                <c:pt idx="15">
                  <c:v>16.7</c:v>
                </c:pt>
                <c:pt idx="16">
                  <c:v>20</c:v>
                </c:pt>
                <c:pt idx="17">
                  <c:v>50.2</c:v>
                </c:pt>
                <c:pt idx="18">
                  <c:v>14.228999999999997</c:v>
                </c:pt>
                <c:pt idx="19">
                  <c:v>36</c:v>
                </c:pt>
                <c:pt idx="21">
                  <c:v>18.7</c:v>
                </c:pt>
                <c:pt idx="22">
                  <c:v>35</c:v>
                </c:pt>
              </c:numCache>
            </c:numRef>
          </c:yVal>
          <c:smooth val="0"/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Sheet1!$L$14:$L$36</c:f>
              <c:numCache>
                <c:formatCode>General</c:formatCode>
                <c:ptCount val="23"/>
                <c:pt idx="0">
                  <c:v>1235</c:v>
                </c:pt>
                <c:pt idx="1">
                  <c:v>930</c:v>
                </c:pt>
                <c:pt idx="2">
                  <c:v>2325</c:v>
                </c:pt>
                <c:pt idx="3">
                  <c:v>1337</c:v>
                </c:pt>
                <c:pt idx="4">
                  <c:v>3800</c:v>
                </c:pt>
                <c:pt idx="5">
                  <c:v>1768</c:v>
                </c:pt>
                <c:pt idx="6">
                  <c:v>2180</c:v>
                </c:pt>
                <c:pt idx="7">
                  <c:v>1358</c:v>
                </c:pt>
                <c:pt idx="8">
                  <c:v>1811</c:v>
                </c:pt>
                <c:pt idx="9">
                  <c:v>2000</c:v>
                </c:pt>
                <c:pt idx="10">
                  <c:v>1211</c:v>
                </c:pt>
                <c:pt idx="11">
                  <c:v>3100</c:v>
                </c:pt>
                <c:pt idx="12">
                  <c:v>2896</c:v>
                </c:pt>
                <c:pt idx="13">
                  <c:v>2750</c:v>
                </c:pt>
                <c:pt idx="14">
                  <c:v>1728</c:v>
                </c:pt>
                <c:pt idx="15">
                  <c:v>1828</c:v>
                </c:pt>
                <c:pt idx="16">
                  <c:v>2041</c:v>
                </c:pt>
                <c:pt idx="17">
                  <c:v>1687</c:v>
                </c:pt>
                <c:pt idx="18">
                  <c:v>1980</c:v>
                </c:pt>
                <c:pt idx="19">
                  <c:v>3290</c:v>
                </c:pt>
                <c:pt idx="20">
                  <c:v>2150</c:v>
                </c:pt>
                <c:pt idx="21">
                  <c:v>1941</c:v>
                </c:pt>
                <c:pt idx="22">
                  <c:v>3695</c:v>
                </c:pt>
              </c:numCache>
            </c:numRef>
          </c:xVal>
          <c:yVal>
            <c:numRef>
              <c:f>Sheet1!$O$14:$O$36</c:f>
              <c:numCache>
                <c:formatCode>General</c:formatCode>
                <c:ptCount val="23"/>
                <c:pt idx="0">
                  <c:v>125.6</c:v>
                </c:pt>
                <c:pt idx="1">
                  <c:v>42.5</c:v>
                </c:pt>
                <c:pt idx="2">
                  <c:v>357.34720000000004</c:v>
                </c:pt>
                <c:pt idx="3">
                  <c:v>222.8</c:v>
                </c:pt>
                <c:pt idx="4">
                  <c:v>153.9</c:v>
                </c:pt>
                <c:pt idx="5">
                  <c:v>63.7</c:v>
                </c:pt>
                <c:pt idx="6">
                  <c:v>64.3</c:v>
                </c:pt>
                <c:pt idx="7">
                  <c:v>118.4</c:v>
                </c:pt>
                <c:pt idx="8">
                  <c:v>15.7</c:v>
                </c:pt>
                <c:pt idx="10">
                  <c:v>110</c:v>
                </c:pt>
                <c:pt idx="12">
                  <c:v>71.900000000000006</c:v>
                </c:pt>
                <c:pt idx="13">
                  <c:v>86.1</c:v>
                </c:pt>
                <c:pt idx="14">
                  <c:v>112</c:v>
                </c:pt>
                <c:pt idx="15">
                  <c:v>53.7</c:v>
                </c:pt>
                <c:pt idx="16">
                  <c:v>205.2</c:v>
                </c:pt>
                <c:pt idx="17">
                  <c:v>133.6</c:v>
                </c:pt>
                <c:pt idx="18">
                  <c:v>86.688000000000002</c:v>
                </c:pt>
                <c:pt idx="19">
                  <c:v>31.1</c:v>
                </c:pt>
                <c:pt idx="21">
                  <c:v>7.6</c:v>
                </c:pt>
                <c:pt idx="22">
                  <c:v>78.599999999999994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72672"/>
        <c:axId val="317675432"/>
      </c:scatterChart>
      <c:valAx>
        <c:axId val="31767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80920"/>
        <c:crosses val="autoZero"/>
        <c:crossBetween val="midCat"/>
      </c:valAx>
      <c:valAx>
        <c:axId val="31768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79744"/>
        <c:crosses val="autoZero"/>
        <c:crossBetween val="midCat"/>
      </c:valAx>
      <c:valAx>
        <c:axId val="3176754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72672"/>
        <c:crosses val="max"/>
        <c:crossBetween val="midCat"/>
      </c:valAx>
      <c:valAx>
        <c:axId val="3179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675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E-neg vs. e affin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601090477536523E-2"/>
                  <c:y val="-0.1427913769399640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aseline="0"/>
                      <a:t>y = 0.0038x + 1.6093</a:t>
                    </a:r>
                    <a:endParaRPr lang="en-US" sz="11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Sheet1!$O$14:$O$36</c:f>
              <c:numCache>
                <c:formatCode>General</c:formatCode>
                <c:ptCount val="23"/>
                <c:pt idx="0">
                  <c:v>125.6</c:v>
                </c:pt>
                <c:pt idx="1">
                  <c:v>42.5</c:v>
                </c:pt>
                <c:pt idx="2">
                  <c:v>357.34720000000004</c:v>
                </c:pt>
                <c:pt idx="3">
                  <c:v>222.8</c:v>
                </c:pt>
                <c:pt idx="4">
                  <c:v>153.9</c:v>
                </c:pt>
                <c:pt idx="5">
                  <c:v>63.7</c:v>
                </c:pt>
                <c:pt idx="6">
                  <c:v>64.3</c:v>
                </c:pt>
                <c:pt idx="7">
                  <c:v>118.4</c:v>
                </c:pt>
                <c:pt idx="8">
                  <c:v>15.7</c:v>
                </c:pt>
                <c:pt idx="10">
                  <c:v>110</c:v>
                </c:pt>
                <c:pt idx="12">
                  <c:v>71.900000000000006</c:v>
                </c:pt>
                <c:pt idx="13">
                  <c:v>86.1</c:v>
                </c:pt>
                <c:pt idx="14">
                  <c:v>112</c:v>
                </c:pt>
                <c:pt idx="15">
                  <c:v>53.7</c:v>
                </c:pt>
                <c:pt idx="16">
                  <c:v>205.2</c:v>
                </c:pt>
                <c:pt idx="17">
                  <c:v>133.6</c:v>
                </c:pt>
                <c:pt idx="18">
                  <c:v>86.688000000000002</c:v>
                </c:pt>
                <c:pt idx="19">
                  <c:v>31.1</c:v>
                </c:pt>
                <c:pt idx="21">
                  <c:v>7.6</c:v>
                </c:pt>
                <c:pt idx="22">
                  <c:v>78.599999999999994</c:v>
                </c:pt>
              </c:numCache>
            </c:numRef>
          </c:xVal>
          <c:yVal>
            <c:numRef>
              <c:f>Sheet1!$P$14:$P$36</c:f>
              <c:numCache>
                <c:formatCode>General</c:formatCode>
                <c:ptCount val="23"/>
                <c:pt idx="0">
                  <c:v>1.92</c:v>
                </c:pt>
                <c:pt idx="1">
                  <c:v>1.61</c:v>
                </c:pt>
                <c:pt idx="2">
                  <c:v>2.7080000000000002</c:v>
                </c:pt>
                <c:pt idx="3">
                  <c:v>2.54</c:v>
                </c:pt>
                <c:pt idx="4">
                  <c:v>2.5499999999999998</c:v>
                </c:pt>
                <c:pt idx="5">
                  <c:v>1.88</c:v>
                </c:pt>
                <c:pt idx="6">
                  <c:v>1.66</c:v>
                </c:pt>
                <c:pt idx="7">
                  <c:v>1.9</c:v>
                </c:pt>
                <c:pt idx="8">
                  <c:v>1.83</c:v>
                </c:pt>
                <c:pt idx="9">
                  <c:v>2.4249999999999998</c:v>
                </c:pt>
                <c:pt idx="10">
                  <c:v>2.0099999999999998</c:v>
                </c:pt>
                <c:pt idx="11">
                  <c:v>2.37</c:v>
                </c:pt>
                <c:pt idx="12">
                  <c:v>2.15</c:v>
                </c:pt>
                <c:pt idx="13">
                  <c:v>1.6</c:v>
                </c:pt>
                <c:pt idx="14">
                  <c:v>1.91</c:v>
                </c:pt>
                <c:pt idx="15">
                  <c:v>2.2000000000000002</c:v>
                </c:pt>
                <c:pt idx="16">
                  <c:v>2.2799999999999998</c:v>
                </c:pt>
                <c:pt idx="17">
                  <c:v>1.9</c:v>
                </c:pt>
                <c:pt idx="18">
                  <c:v>2.9266666666666663</c:v>
                </c:pt>
                <c:pt idx="19">
                  <c:v>1.5</c:v>
                </c:pt>
                <c:pt idx="20">
                  <c:v>2.8857142857142857</c:v>
                </c:pt>
                <c:pt idx="21">
                  <c:v>1.54</c:v>
                </c:pt>
                <c:pt idx="22">
                  <c:v>2.36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66792"/>
        <c:axId val="367797504"/>
      </c:scatterChart>
      <c:valAx>
        <c:axId val="31796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97504"/>
        <c:crosses val="autoZero"/>
        <c:crossBetween val="midCat"/>
      </c:valAx>
      <c:valAx>
        <c:axId val="367797504"/>
        <c:scaling>
          <c:orientation val="minMax"/>
          <c:max val="3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66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Sheet2!$B$2:$B$10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Sheet2!$C$2:$C$10</c:f>
              <c:numCache>
                <c:formatCode>General</c:formatCode>
                <c:ptCount val="9"/>
                <c:pt idx="0">
                  <c:v>1</c:v>
                </c:pt>
                <c:pt idx="1">
                  <c:v>1.0062182408251528</c:v>
                </c:pt>
                <c:pt idx="2">
                  <c:v>1.0264948662863589</c:v>
                </c:pt>
                <c:pt idx="3">
                  <c:v>1.0666666666666667</c:v>
                </c:pt>
                <c:pt idx="4">
                  <c:v>1.1408176382083695</c:v>
                </c:pt>
                <c:pt idx="5">
                  <c:v>1.2840553250922413</c:v>
                </c:pt>
                <c:pt idx="6">
                  <c:v>1.5999999999999996</c:v>
                </c:pt>
                <c:pt idx="7">
                  <c:v>2.5097264340826051</c:v>
                </c:pt>
                <c:pt idx="8">
                  <c:v>7.4326874955052666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21768"/>
        <c:axId val="393087720"/>
      </c:scatterChart>
      <c:valAx>
        <c:axId val="315121768"/>
        <c:scaling>
          <c:orientation val="minMax"/>
          <c:max val="6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3087720"/>
        <c:crosses val="autoZero"/>
        <c:crossBetween val="midCat"/>
      </c:valAx>
      <c:valAx>
        <c:axId val="393087720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121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0.2083276898396044"/>
                  <c:y val="0.177497191278633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Sheet2!$C$23:$C$47</c:f>
              <c:numCache>
                <c:formatCode>General</c:formatCode>
                <c:ptCount val="25"/>
                <c:pt idx="0">
                  <c:v>1.8360000000000001</c:v>
                </c:pt>
                <c:pt idx="1">
                  <c:v>1.8</c:v>
                </c:pt>
                <c:pt idx="2">
                  <c:v>1.7</c:v>
                </c:pt>
                <c:pt idx="3">
                  <c:v>1.6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1.2</c:v>
                </c:pt>
                <c:pt idx="8">
                  <c:v>1.1000000000000001</c:v>
                </c:pt>
                <c:pt idx="9">
                  <c:v>1.0569999999999999</c:v>
                </c:pt>
                <c:pt idx="10">
                  <c:v>1</c:v>
                </c:pt>
                <c:pt idx="11">
                  <c:v>0.9</c:v>
                </c:pt>
                <c:pt idx="12">
                  <c:v>0.86799999999999999</c:v>
                </c:pt>
                <c:pt idx="13">
                  <c:v>0.8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0.25</c:v>
                </c:pt>
                <c:pt idx="21">
                  <c:v>0.21</c:v>
                </c:pt>
                <c:pt idx="22">
                  <c:v>0.2</c:v>
                </c:pt>
                <c:pt idx="23">
                  <c:v>0.15</c:v>
                </c:pt>
                <c:pt idx="24">
                  <c:v>0.1</c:v>
                </c:pt>
              </c:numCache>
            </c:numRef>
          </c:xVal>
          <c:yVal>
            <c:numRef>
              <c:f>Sheet2!$D$23:$D$47</c:f>
              <c:numCache>
                <c:formatCode>General</c:formatCode>
                <c:ptCount val="25"/>
                <c:pt idx="0">
                  <c:v>100</c:v>
                </c:pt>
                <c:pt idx="1">
                  <c:v>92.215999999999994</c:v>
                </c:pt>
                <c:pt idx="2">
                  <c:v>73.403999999999996</c:v>
                </c:pt>
                <c:pt idx="3">
                  <c:v>58.36</c:v>
                </c:pt>
                <c:pt idx="4">
                  <c:v>46.331000000000003</c:v>
                </c:pt>
                <c:pt idx="5">
                  <c:v>36.712000000000003</c:v>
                </c:pt>
                <c:pt idx="6">
                  <c:v>29.02</c:v>
                </c:pt>
                <c:pt idx="7">
                  <c:v>22.87</c:v>
                </c:pt>
                <c:pt idx="8">
                  <c:v>17.951000000000001</c:v>
                </c:pt>
                <c:pt idx="10">
                  <c:v>14.018000000000001</c:v>
                </c:pt>
                <c:pt idx="11">
                  <c:v>10.872999999999999</c:v>
                </c:pt>
                <c:pt idx="12">
                  <c:v>10.007</c:v>
                </c:pt>
                <c:pt idx="13">
                  <c:v>8.359</c:v>
                </c:pt>
                <c:pt idx="14">
                  <c:v>6.3479999999999999</c:v>
                </c:pt>
                <c:pt idx="15">
                  <c:v>4.47</c:v>
                </c:pt>
                <c:pt idx="16">
                  <c:v>3.4540000000000002</c:v>
                </c:pt>
                <c:pt idx="17">
                  <c:v>2.4260000000000002</c:v>
                </c:pt>
                <c:pt idx="18">
                  <c:v>1.6040000000000001</c:v>
                </c:pt>
                <c:pt idx="20">
                  <c:v>1.256</c:v>
                </c:pt>
                <c:pt idx="21">
                  <c:v>1.0049999999999999</c:v>
                </c:pt>
                <c:pt idx="22">
                  <c:v>0.94599999999999995</c:v>
                </c:pt>
                <c:pt idx="23">
                  <c:v>0.66900000000000004</c:v>
                </c:pt>
                <c:pt idx="24">
                  <c:v>0.42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Sheet2!$C$23:$C$52</c:f>
              <c:numCache>
                <c:formatCode>General</c:formatCode>
                <c:ptCount val="30"/>
                <c:pt idx="0">
                  <c:v>1.8360000000000001</c:v>
                </c:pt>
                <c:pt idx="1">
                  <c:v>1.8</c:v>
                </c:pt>
                <c:pt idx="2">
                  <c:v>1.7</c:v>
                </c:pt>
                <c:pt idx="3">
                  <c:v>1.6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1.2</c:v>
                </c:pt>
                <c:pt idx="8">
                  <c:v>1.1000000000000001</c:v>
                </c:pt>
                <c:pt idx="9">
                  <c:v>1.0569999999999999</c:v>
                </c:pt>
                <c:pt idx="10">
                  <c:v>1</c:v>
                </c:pt>
                <c:pt idx="11">
                  <c:v>0.9</c:v>
                </c:pt>
                <c:pt idx="12">
                  <c:v>0.86799999999999999</c:v>
                </c:pt>
                <c:pt idx="13">
                  <c:v>0.8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0.25</c:v>
                </c:pt>
                <c:pt idx="21">
                  <c:v>0.21</c:v>
                </c:pt>
                <c:pt idx="22">
                  <c:v>0.2</c:v>
                </c:pt>
                <c:pt idx="23">
                  <c:v>0.15</c:v>
                </c:pt>
                <c:pt idx="24">
                  <c:v>0.1</c:v>
                </c:pt>
                <c:pt idx="25">
                  <c:v>0.05</c:v>
                </c:pt>
                <c:pt idx="26">
                  <c:v>0.04</c:v>
                </c:pt>
                <c:pt idx="27">
                  <c:v>0.03</c:v>
                </c:pt>
                <c:pt idx="28">
                  <c:v>0.02</c:v>
                </c:pt>
                <c:pt idx="29">
                  <c:v>0.01</c:v>
                </c:pt>
              </c:numCache>
            </c:numRef>
          </c:xVal>
          <c:yVal>
            <c:numRef>
              <c:f>Sheet2!$F$23:$F$52</c:f>
              <c:numCache>
                <c:formatCode>General</c:formatCode>
                <c:ptCount val="30"/>
                <c:pt idx="0">
                  <c:v>99.009900990099013</c:v>
                </c:pt>
                <c:pt idx="1">
                  <c:v>98.927222794370053</c:v>
                </c:pt>
                <c:pt idx="2">
                  <c:v>98.655986237299075</c:v>
                </c:pt>
                <c:pt idx="3">
                  <c:v>98.315363881401623</c:v>
                </c:pt>
                <c:pt idx="4">
                  <c:v>97.887219792524988</c:v>
                </c:pt>
                <c:pt idx="5">
                  <c:v>97.348324140857017</c:v>
                </c:pt>
                <c:pt idx="6">
                  <c:v>96.668887408394411</c:v>
                </c:pt>
                <c:pt idx="7">
                  <c:v>95.810640971931292</c:v>
                </c:pt>
                <c:pt idx="8">
                  <c:v>94.723233602448431</c:v>
                </c:pt>
                <c:pt idx="10">
                  <c:v>93.341323744839528</c:v>
                </c:pt>
                <c:pt idx="11">
                  <c:v>91.577528846963702</c:v>
                </c:pt>
                <c:pt idx="12">
                  <c:v>90.914872353956568</c:v>
                </c:pt>
                <c:pt idx="13">
                  <c:v>89.31509776685543</c:v>
                </c:pt>
                <c:pt idx="14">
                  <c:v>86.390854654327697</c:v>
                </c:pt>
                <c:pt idx="15">
                  <c:v>81.718464351005494</c:v>
                </c:pt>
                <c:pt idx="16">
                  <c:v>77.548271216883691</c:v>
                </c:pt>
                <c:pt idx="17">
                  <c:v>70.811441914769418</c:v>
                </c:pt>
                <c:pt idx="18">
                  <c:v>61.597542242703533</c:v>
                </c:pt>
                <c:pt idx="20">
                  <c:v>55.673758865248217</c:v>
                </c:pt>
                <c:pt idx="21">
                  <c:v>50.124688279301743</c:v>
                </c:pt>
                <c:pt idx="22">
                  <c:v>48.612538540596091</c:v>
                </c:pt>
                <c:pt idx="23">
                  <c:v>40.083882564409826</c:v>
                </c:pt>
                <c:pt idx="24">
                  <c:v>29.577464788732396</c:v>
                </c:pt>
                <c:pt idx="25">
                  <c:v>16.527545909849749</c:v>
                </c:pt>
                <c:pt idx="26">
                  <c:v>13.569576490924804</c:v>
                </c:pt>
                <c:pt idx="27">
                  <c:v>10.394265232974911</c:v>
                </c:pt>
                <c:pt idx="28">
                  <c:v>7.1494893221912728</c:v>
                </c:pt>
                <c:pt idx="29">
                  <c:v>3.660886319845857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Sheet2!$C$23:$C$52</c:f>
              <c:numCache>
                <c:formatCode>General</c:formatCode>
                <c:ptCount val="30"/>
                <c:pt idx="0">
                  <c:v>1.8360000000000001</c:v>
                </c:pt>
                <c:pt idx="1">
                  <c:v>1.8</c:v>
                </c:pt>
                <c:pt idx="2">
                  <c:v>1.7</c:v>
                </c:pt>
                <c:pt idx="3">
                  <c:v>1.6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1.2</c:v>
                </c:pt>
                <c:pt idx="8">
                  <c:v>1.1000000000000001</c:v>
                </c:pt>
                <c:pt idx="9">
                  <c:v>1.0569999999999999</c:v>
                </c:pt>
                <c:pt idx="10">
                  <c:v>1</c:v>
                </c:pt>
                <c:pt idx="11">
                  <c:v>0.9</c:v>
                </c:pt>
                <c:pt idx="12">
                  <c:v>0.86799999999999999</c:v>
                </c:pt>
                <c:pt idx="13">
                  <c:v>0.8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0.25</c:v>
                </c:pt>
                <c:pt idx="21">
                  <c:v>0.21</c:v>
                </c:pt>
                <c:pt idx="22">
                  <c:v>0.2</c:v>
                </c:pt>
                <c:pt idx="23">
                  <c:v>0.15</c:v>
                </c:pt>
                <c:pt idx="24">
                  <c:v>0.1</c:v>
                </c:pt>
                <c:pt idx="25">
                  <c:v>0.05</c:v>
                </c:pt>
                <c:pt idx="26">
                  <c:v>0.04</c:v>
                </c:pt>
                <c:pt idx="27">
                  <c:v>0.03</c:v>
                </c:pt>
                <c:pt idx="28">
                  <c:v>0.02</c:v>
                </c:pt>
                <c:pt idx="29">
                  <c:v>0.01</c:v>
                </c:pt>
              </c:numCache>
            </c:numRef>
          </c:xVal>
          <c:yVal>
            <c:numRef>
              <c:f>Sheet2!$G$23:$G$52</c:f>
              <c:numCache>
                <c:formatCode>General</c:formatCode>
                <c:ptCount val="30"/>
                <c:pt idx="0">
                  <c:v>0.99009900990098743</c:v>
                </c:pt>
                <c:pt idx="1">
                  <c:v>1.0727772056299472</c:v>
                </c:pt>
                <c:pt idx="2">
                  <c:v>1.344013762700925</c:v>
                </c:pt>
                <c:pt idx="3">
                  <c:v>1.6846361185983767</c:v>
                </c:pt>
                <c:pt idx="4">
                  <c:v>2.1127802074750122</c:v>
                </c:pt>
                <c:pt idx="5">
                  <c:v>2.6516758591429834</c:v>
                </c:pt>
                <c:pt idx="6">
                  <c:v>3.3311125916055886</c:v>
                </c:pt>
                <c:pt idx="7">
                  <c:v>4.1893590280687079</c:v>
                </c:pt>
                <c:pt idx="8">
                  <c:v>5.2767663975515688</c:v>
                </c:pt>
                <c:pt idx="10">
                  <c:v>6.6586762551604721</c:v>
                </c:pt>
                <c:pt idx="11">
                  <c:v>8.4224711530362981</c:v>
                </c:pt>
                <c:pt idx="12">
                  <c:v>9.085127646043432</c:v>
                </c:pt>
                <c:pt idx="13">
                  <c:v>10.68490223314457</c:v>
                </c:pt>
                <c:pt idx="14">
                  <c:v>13.609145345672303</c:v>
                </c:pt>
                <c:pt idx="15">
                  <c:v>18.281535648994506</c:v>
                </c:pt>
                <c:pt idx="16">
                  <c:v>22.451728783116309</c:v>
                </c:pt>
                <c:pt idx="17">
                  <c:v>29.188558085230582</c:v>
                </c:pt>
                <c:pt idx="18">
                  <c:v>38.402457757296467</c:v>
                </c:pt>
                <c:pt idx="20">
                  <c:v>44.326241134751783</c:v>
                </c:pt>
                <c:pt idx="21">
                  <c:v>49.875311720698257</c:v>
                </c:pt>
                <c:pt idx="22">
                  <c:v>51.387461459403909</c:v>
                </c:pt>
                <c:pt idx="23">
                  <c:v>59.916117435590174</c:v>
                </c:pt>
                <c:pt idx="24">
                  <c:v>70.422535211267601</c:v>
                </c:pt>
                <c:pt idx="25">
                  <c:v>83.472454090150251</c:v>
                </c:pt>
                <c:pt idx="26">
                  <c:v>86.430423509075197</c:v>
                </c:pt>
                <c:pt idx="27">
                  <c:v>89.605734767025083</c:v>
                </c:pt>
                <c:pt idx="28">
                  <c:v>92.850510677808728</c:v>
                </c:pt>
                <c:pt idx="29">
                  <c:v>96.339113680154142</c:v>
                </c:pt>
              </c:numCache>
            </c:numRef>
          </c:yVal>
          <c:smooth val="1"/>
        </c:ser>
        <c:ser>
          <c:idx val="4"/>
          <c:order val="3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Sheet2!$AD$23:$AD$255</c:f>
              <c:numCache>
                <c:formatCode>General</c:formatCode>
                <c:ptCount val="233"/>
                <c:pt idx="0">
                  <c:v>12.8</c:v>
                </c:pt>
                <c:pt idx="1">
                  <c:v>12.736000000000001</c:v>
                </c:pt>
                <c:pt idx="2">
                  <c:v>12.672000000000001</c:v>
                </c:pt>
                <c:pt idx="3">
                  <c:v>12.608000000000001</c:v>
                </c:pt>
                <c:pt idx="4">
                  <c:v>12.544</c:v>
                </c:pt>
                <c:pt idx="5">
                  <c:v>12.479904000000001</c:v>
                </c:pt>
                <c:pt idx="6">
                  <c:v>12.415904000000001</c:v>
                </c:pt>
                <c:pt idx="7">
                  <c:v>12.351904000000001</c:v>
                </c:pt>
                <c:pt idx="8">
                  <c:v>12.287904000000001</c:v>
                </c:pt>
                <c:pt idx="10">
                  <c:v>12.223904000000001</c:v>
                </c:pt>
                <c:pt idx="11">
                  <c:v>12.159904000000001</c:v>
                </c:pt>
                <c:pt idx="12">
                  <c:v>12.095904000000001</c:v>
                </c:pt>
                <c:pt idx="13">
                  <c:v>12.031904000000001</c:v>
                </c:pt>
                <c:pt idx="14">
                  <c:v>11.967904000000001</c:v>
                </c:pt>
                <c:pt idx="15">
                  <c:v>11.903904000000001</c:v>
                </c:pt>
                <c:pt idx="16">
                  <c:v>11.839904000000001</c:v>
                </c:pt>
                <c:pt idx="17">
                  <c:v>11.775904000000001</c:v>
                </c:pt>
                <c:pt idx="18">
                  <c:v>11.711904000000001</c:v>
                </c:pt>
                <c:pt idx="19">
                  <c:v>11.647904</c:v>
                </c:pt>
                <c:pt idx="20">
                  <c:v>11.583904</c:v>
                </c:pt>
                <c:pt idx="21">
                  <c:v>11.519904</c:v>
                </c:pt>
                <c:pt idx="22">
                  <c:v>11.455904</c:v>
                </c:pt>
                <c:pt idx="23">
                  <c:v>11.391904</c:v>
                </c:pt>
                <c:pt idx="24">
                  <c:v>11.327904</c:v>
                </c:pt>
                <c:pt idx="25">
                  <c:v>11.263904</c:v>
                </c:pt>
                <c:pt idx="26">
                  <c:v>11.199904</c:v>
                </c:pt>
                <c:pt idx="27">
                  <c:v>11.135904</c:v>
                </c:pt>
                <c:pt idx="28">
                  <c:v>11.071808000000001</c:v>
                </c:pt>
                <c:pt idx="29">
                  <c:v>11.007808000000001</c:v>
                </c:pt>
                <c:pt idx="30">
                  <c:v>10.943808000000001</c:v>
                </c:pt>
                <c:pt idx="31">
                  <c:v>10.879808000000001</c:v>
                </c:pt>
                <c:pt idx="32">
                  <c:v>10.815808000000001</c:v>
                </c:pt>
                <c:pt idx="33">
                  <c:v>10.751808</c:v>
                </c:pt>
                <c:pt idx="34">
                  <c:v>10.687808</c:v>
                </c:pt>
                <c:pt idx="35">
                  <c:v>10.623808</c:v>
                </c:pt>
                <c:pt idx="36">
                  <c:v>10.559808</c:v>
                </c:pt>
                <c:pt idx="37">
                  <c:v>10.495808</c:v>
                </c:pt>
                <c:pt idx="38">
                  <c:v>10.431808</c:v>
                </c:pt>
                <c:pt idx="39">
                  <c:v>10.367808</c:v>
                </c:pt>
                <c:pt idx="40">
                  <c:v>10.303808</c:v>
                </c:pt>
                <c:pt idx="41">
                  <c:v>10.239808</c:v>
                </c:pt>
                <c:pt idx="42">
                  <c:v>10.175808</c:v>
                </c:pt>
                <c:pt idx="43">
                  <c:v>10.111712000000001</c:v>
                </c:pt>
                <c:pt idx="44">
                  <c:v>10.047712000000001</c:v>
                </c:pt>
                <c:pt idx="45">
                  <c:v>9.9837120000000006</c:v>
                </c:pt>
                <c:pt idx="46">
                  <c:v>9.9197120000000005</c:v>
                </c:pt>
                <c:pt idx="47">
                  <c:v>9.8557120000000005</c:v>
                </c:pt>
                <c:pt idx="48">
                  <c:v>9.7917120000000004</c:v>
                </c:pt>
                <c:pt idx="49">
                  <c:v>9.7277120000000004</c:v>
                </c:pt>
                <c:pt idx="50">
                  <c:v>9.6637120000000003</c:v>
                </c:pt>
                <c:pt idx="51">
                  <c:v>9.5997120000000002</c:v>
                </c:pt>
                <c:pt idx="52">
                  <c:v>9.5357120000000002</c:v>
                </c:pt>
                <c:pt idx="53">
                  <c:v>9.4717120000000001</c:v>
                </c:pt>
                <c:pt idx="54">
                  <c:v>9.4077120000000001</c:v>
                </c:pt>
                <c:pt idx="55">
                  <c:v>9.343712</c:v>
                </c:pt>
                <c:pt idx="56">
                  <c:v>9.279712</c:v>
                </c:pt>
                <c:pt idx="57">
                  <c:v>9.2157119999999999</c:v>
                </c:pt>
                <c:pt idx="58">
                  <c:v>9.1517119999999998</c:v>
                </c:pt>
                <c:pt idx="59">
                  <c:v>9.0877119999999998</c:v>
                </c:pt>
                <c:pt idx="60">
                  <c:v>9.0237119999999997</c:v>
                </c:pt>
                <c:pt idx="61">
                  <c:v>8.9597120000000015</c:v>
                </c:pt>
                <c:pt idx="62">
                  <c:v>8.8957120000000014</c:v>
                </c:pt>
                <c:pt idx="63">
                  <c:v>8.8317120000000013</c:v>
                </c:pt>
                <c:pt idx="64">
                  <c:v>8.7677119999999995</c:v>
                </c:pt>
                <c:pt idx="65">
                  <c:v>8.7037119999999994</c:v>
                </c:pt>
                <c:pt idx="66">
                  <c:v>8.6397120000000012</c:v>
                </c:pt>
                <c:pt idx="67">
                  <c:v>8.5757120000000011</c:v>
                </c:pt>
                <c:pt idx="68">
                  <c:v>8.5117120000000011</c:v>
                </c:pt>
                <c:pt idx="69">
                  <c:v>8.447712000000001</c:v>
                </c:pt>
                <c:pt idx="70">
                  <c:v>8.3837120000000009</c:v>
                </c:pt>
                <c:pt idx="71">
                  <c:v>8.3197120000000009</c:v>
                </c:pt>
                <c:pt idx="72">
                  <c:v>8.2557120000000008</c:v>
                </c:pt>
                <c:pt idx="73">
                  <c:v>8.1917120000000008</c:v>
                </c:pt>
                <c:pt idx="74">
                  <c:v>8.1276159999999997</c:v>
                </c:pt>
                <c:pt idx="75">
                  <c:v>8.0636159999999997</c:v>
                </c:pt>
                <c:pt idx="76">
                  <c:v>7.9996160000000005</c:v>
                </c:pt>
                <c:pt idx="77">
                  <c:v>7.9356160000000004</c:v>
                </c:pt>
                <c:pt idx="78">
                  <c:v>7.8715200000000003</c:v>
                </c:pt>
                <c:pt idx="79">
                  <c:v>7.8075200000000002</c:v>
                </c:pt>
                <c:pt idx="80">
                  <c:v>7.7435200000000002</c:v>
                </c:pt>
                <c:pt idx="81">
                  <c:v>7.679424</c:v>
                </c:pt>
                <c:pt idx="82">
                  <c:v>7.615424</c:v>
                </c:pt>
                <c:pt idx="83">
                  <c:v>7.5514239999999999</c:v>
                </c:pt>
                <c:pt idx="84">
                  <c:v>7.4874239999999999</c:v>
                </c:pt>
                <c:pt idx="85">
                  <c:v>7.4234240000000007</c:v>
                </c:pt>
                <c:pt idx="86">
                  <c:v>7.3594240000000006</c:v>
                </c:pt>
                <c:pt idx="87">
                  <c:v>7.2954240000000006</c:v>
                </c:pt>
                <c:pt idx="88">
                  <c:v>7.2314240000000005</c:v>
                </c:pt>
                <c:pt idx="89">
                  <c:v>7.1674240000000005</c:v>
                </c:pt>
                <c:pt idx="90">
                  <c:v>7.1034240000000004</c:v>
                </c:pt>
                <c:pt idx="91">
                  <c:v>7.0394240000000003</c:v>
                </c:pt>
                <c:pt idx="92">
                  <c:v>6.9754240000000003</c:v>
                </c:pt>
                <c:pt idx="93">
                  <c:v>6.9114240000000002</c:v>
                </c:pt>
                <c:pt idx="94">
                  <c:v>6.8474240000000002</c:v>
                </c:pt>
                <c:pt idx="95">
                  <c:v>6.7834240000000001</c:v>
                </c:pt>
                <c:pt idx="96">
                  <c:v>6.7194240000000001</c:v>
                </c:pt>
                <c:pt idx="97">
                  <c:v>6.655424</c:v>
                </c:pt>
                <c:pt idx="98">
                  <c:v>6.5914239999999999</c:v>
                </c:pt>
                <c:pt idx="99">
                  <c:v>6.5274239999999999</c:v>
                </c:pt>
                <c:pt idx="100">
                  <c:v>6.4634239999999998</c:v>
                </c:pt>
                <c:pt idx="101">
                  <c:v>6.3994239999999998</c:v>
                </c:pt>
                <c:pt idx="102">
                  <c:v>6.3354240000000006</c:v>
                </c:pt>
                <c:pt idx="103">
                  <c:v>6.2714240000000006</c:v>
                </c:pt>
                <c:pt idx="104">
                  <c:v>6.2072960000000013</c:v>
                </c:pt>
                <c:pt idx="105">
                  <c:v>6.1432960000000012</c:v>
                </c:pt>
                <c:pt idx="106">
                  <c:v>6.0792960000000011</c:v>
                </c:pt>
                <c:pt idx="107">
                  <c:v>6.0152960000000011</c:v>
                </c:pt>
                <c:pt idx="108">
                  <c:v>5.951296000000001</c:v>
                </c:pt>
                <c:pt idx="109">
                  <c:v>5.887296000000001</c:v>
                </c:pt>
                <c:pt idx="110">
                  <c:v>5.8232960000000009</c:v>
                </c:pt>
                <c:pt idx="111">
                  <c:v>5.7592960000000009</c:v>
                </c:pt>
                <c:pt idx="112">
                  <c:v>5.6952960000000008</c:v>
                </c:pt>
                <c:pt idx="113">
                  <c:v>5.6312960000000007</c:v>
                </c:pt>
                <c:pt idx="114">
                  <c:v>5.5672960000000007</c:v>
                </c:pt>
                <c:pt idx="115">
                  <c:v>5.5032960000000006</c:v>
                </c:pt>
                <c:pt idx="116">
                  <c:v>5.4392960000000006</c:v>
                </c:pt>
                <c:pt idx="117">
                  <c:v>5.3752320000000013</c:v>
                </c:pt>
                <c:pt idx="118">
                  <c:v>5.3112320000000013</c:v>
                </c:pt>
                <c:pt idx="119">
                  <c:v>5.2472320000000012</c:v>
                </c:pt>
                <c:pt idx="120">
                  <c:v>5.1832320000000012</c:v>
                </c:pt>
                <c:pt idx="121">
                  <c:v>5.1192320000000011</c:v>
                </c:pt>
                <c:pt idx="122">
                  <c:v>5.0552320000000011</c:v>
                </c:pt>
                <c:pt idx="123">
                  <c:v>4.991232000000001</c:v>
                </c:pt>
                <c:pt idx="124">
                  <c:v>4.9272320000000009</c:v>
                </c:pt>
                <c:pt idx="125">
                  <c:v>4.8632320000000009</c:v>
                </c:pt>
                <c:pt idx="126">
                  <c:v>4.7992320000000017</c:v>
                </c:pt>
                <c:pt idx="127">
                  <c:v>4.7352320000000017</c:v>
                </c:pt>
                <c:pt idx="128">
                  <c:v>4.6712320000000016</c:v>
                </c:pt>
                <c:pt idx="129">
                  <c:v>4.6072320000000015</c:v>
                </c:pt>
                <c:pt idx="130">
                  <c:v>4.5432320000000015</c:v>
                </c:pt>
                <c:pt idx="131">
                  <c:v>4.4792320000000014</c:v>
                </c:pt>
                <c:pt idx="132">
                  <c:v>4.4152320000000014</c:v>
                </c:pt>
                <c:pt idx="133">
                  <c:v>4.3512320000000013</c:v>
                </c:pt>
                <c:pt idx="134">
                  <c:v>4.2871039999999994</c:v>
                </c:pt>
                <c:pt idx="135">
                  <c:v>4.2231039999999993</c:v>
                </c:pt>
                <c:pt idx="136">
                  <c:v>4.1591039999999992</c:v>
                </c:pt>
                <c:pt idx="137">
                  <c:v>4.0951039999999992</c:v>
                </c:pt>
                <c:pt idx="138">
                  <c:v>4.0311039999999991</c:v>
                </c:pt>
                <c:pt idx="139">
                  <c:v>3.9671039999999991</c:v>
                </c:pt>
                <c:pt idx="140">
                  <c:v>3.903103999999999</c:v>
                </c:pt>
                <c:pt idx="141">
                  <c:v>3.839103999999999</c:v>
                </c:pt>
                <c:pt idx="142">
                  <c:v>3.7751039999999989</c:v>
                </c:pt>
                <c:pt idx="143">
                  <c:v>3.7111039999999988</c:v>
                </c:pt>
                <c:pt idx="144">
                  <c:v>3.6471039999999988</c:v>
                </c:pt>
                <c:pt idx="145">
                  <c:v>3.5831040000000005</c:v>
                </c:pt>
                <c:pt idx="146">
                  <c:v>3.5191040000000005</c:v>
                </c:pt>
                <c:pt idx="147">
                  <c:v>3.4551040000000004</c:v>
                </c:pt>
                <c:pt idx="148">
                  <c:v>3.3911040000000003</c:v>
                </c:pt>
                <c:pt idx="149">
                  <c:v>3.3271040000000003</c:v>
                </c:pt>
                <c:pt idx="150">
                  <c:v>3.2630400000000002</c:v>
                </c:pt>
                <c:pt idx="151">
                  <c:v>3.1990400000000001</c:v>
                </c:pt>
                <c:pt idx="152">
                  <c:v>3.13504</c:v>
                </c:pt>
                <c:pt idx="153">
                  <c:v>3.07104</c:v>
                </c:pt>
                <c:pt idx="154">
                  <c:v>3.0070399999999999</c:v>
                </c:pt>
                <c:pt idx="155">
                  <c:v>2.9430399999999999</c:v>
                </c:pt>
                <c:pt idx="156">
                  <c:v>2.8790399999999998</c:v>
                </c:pt>
                <c:pt idx="157">
                  <c:v>2.8150399999999998</c:v>
                </c:pt>
                <c:pt idx="158">
                  <c:v>2.7510399999999997</c:v>
                </c:pt>
                <c:pt idx="159">
                  <c:v>2.6870399999999997</c:v>
                </c:pt>
                <c:pt idx="160">
                  <c:v>2.6230399999999996</c:v>
                </c:pt>
                <c:pt idx="161">
                  <c:v>2.5590399999999995</c:v>
                </c:pt>
                <c:pt idx="162">
                  <c:v>2.4950399999999995</c:v>
                </c:pt>
                <c:pt idx="163">
                  <c:v>2.4310399999999994</c:v>
                </c:pt>
                <c:pt idx="164">
                  <c:v>2.3670399999999994</c:v>
                </c:pt>
                <c:pt idx="165">
                  <c:v>2.3030399999999993</c:v>
                </c:pt>
                <c:pt idx="166">
                  <c:v>2.2390399999999993</c:v>
                </c:pt>
                <c:pt idx="167">
                  <c:v>2.1750399999999992</c:v>
                </c:pt>
                <c:pt idx="168">
                  <c:v>2.1110399999999991</c:v>
                </c:pt>
                <c:pt idx="169">
                  <c:v>2.0470399999999991</c:v>
                </c:pt>
                <c:pt idx="170">
                  <c:v>1.983039999999999</c:v>
                </c:pt>
                <c:pt idx="171">
                  <c:v>1.919039999999999</c:v>
                </c:pt>
                <c:pt idx="172">
                  <c:v>1.8550399999999989</c:v>
                </c:pt>
                <c:pt idx="173">
                  <c:v>1.7910399999999989</c:v>
                </c:pt>
                <c:pt idx="174">
                  <c:v>1.7270399999999988</c:v>
                </c:pt>
                <c:pt idx="175">
                  <c:v>1.6630399999999987</c:v>
                </c:pt>
                <c:pt idx="176">
                  <c:v>1.5990400000000005</c:v>
                </c:pt>
                <c:pt idx="177">
                  <c:v>1.5350400000000004</c:v>
                </c:pt>
                <c:pt idx="178">
                  <c:v>1.4710400000000003</c:v>
                </c:pt>
                <c:pt idx="179">
                  <c:v>1.4070400000000003</c:v>
                </c:pt>
                <c:pt idx="180">
                  <c:v>1.3430400000000002</c:v>
                </c:pt>
                <c:pt idx="181">
                  <c:v>1.2790400000000002</c:v>
                </c:pt>
                <c:pt idx="182">
                  <c:v>1.2150400000000001</c:v>
                </c:pt>
                <c:pt idx="183">
                  <c:v>1.1510400000000001</c:v>
                </c:pt>
                <c:pt idx="184">
                  <c:v>1.08704</c:v>
                </c:pt>
                <c:pt idx="185">
                  <c:v>1.0230399999999999</c:v>
                </c:pt>
                <c:pt idx="186">
                  <c:v>0.95903999999999989</c:v>
                </c:pt>
                <c:pt idx="187">
                  <c:v>0.89503999999999984</c:v>
                </c:pt>
                <c:pt idx="188">
                  <c:v>0.83103999999999978</c:v>
                </c:pt>
                <c:pt idx="189">
                  <c:v>0.76703999999999972</c:v>
                </c:pt>
                <c:pt idx="190">
                  <c:v>0.70303999999999967</c:v>
                </c:pt>
                <c:pt idx="191">
                  <c:v>0.63903999999999961</c:v>
                </c:pt>
                <c:pt idx="192">
                  <c:v>0.57503999999999955</c:v>
                </c:pt>
                <c:pt idx="193">
                  <c:v>0.51103999999999949</c:v>
                </c:pt>
                <c:pt idx="194">
                  <c:v>0.44703999999999944</c:v>
                </c:pt>
                <c:pt idx="195">
                  <c:v>0.38303999999999938</c:v>
                </c:pt>
                <c:pt idx="196">
                  <c:v>0.31903999999999932</c:v>
                </c:pt>
                <c:pt idx="197">
                  <c:v>0.25503999999999927</c:v>
                </c:pt>
                <c:pt idx="198">
                  <c:v>0.19103999999999921</c:v>
                </c:pt>
                <c:pt idx="199">
                  <c:v>0.12703999999999915</c:v>
                </c:pt>
                <c:pt idx="200">
                  <c:v>6.3039999999999097E-2</c:v>
                </c:pt>
                <c:pt idx="201">
                  <c:v>-9.6000000000096009E-4</c:v>
                </c:pt>
                <c:pt idx="202">
                  <c:v>-6.4960000000001017E-2</c:v>
                </c:pt>
                <c:pt idx="203">
                  <c:v>-0.12896000000000107</c:v>
                </c:pt>
                <c:pt idx="204">
                  <c:v>-0.19296000000000113</c:v>
                </c:pt>
                <c:pt idx="205">
                  <c:v>-0.25708799999999954</c:v>
                </c:pt>
                <c:pt idx="206">
                  <c:v>-0.3210879999999996</c:v>
                </c:pt>
                <c:pt idx="207">
                  <c:v>-0.38508799999999965</c:v>
                </c:pt>
                <c:pt idx="208">
                  <c:v>-0.44908799999999971</c:v>
                </c:pt>
                <c:pt idx="209">
                  <c:v>-0.51308799999999977</c:v>
                </c:pt>
                <c:pt idx="210">
                  <c:v>-0.57708799999999982</c:v>
                </c:pt>
                <c:pt idx="211">
                  <c:v>-0.64108799999999988</c:v>
                </c:pt>
                <c:pt idx="212">
                  <c:v>-0.70508799999999994</c:v>
                </c:pt>
                <c:pt idx="213">
                  <c:v>-0.76908799999999999</c:v>
                </c:pt>
                <c:pt idx="214">
                  <c:v>-0.83308800000000005</c:v>
                </c:pt>
                <c:pt idx="215">
                  <c:v>-0.89708800000000011</c:v>
                </c:pt>
                <c:pt idx="216">
                  <c:v>-0.96108800000000016</c:v>
                </c:pt>
                <c:pt idx="217">
                  <c:v>-1.0250880000000002</c:v>
                </c:pt>
                <c:pt idx="218">
                  <c:v>-1.0891519999999986</c:v>
                </c:pt>
                <c:pt idx="219">
                  <c:v>-1.1531519999999986</c:v>
                </c:pt>
                <c:pt idx="220">
                  <c:v>-1.2171519999999987</c:v>
                </c:pt>
                <c:pt idx="221">
                  <c:v>-1.2811519999999987</c:v>
                </c:pt>
                <c:pt idx="222">
                  <c:v>-1.3451519999999988</c:v>
                </c:pt>
                <c:pt idx="223">
                  <c:v>-1.4091519999999988</c:v>
                </c:pt>
                <c:pt idx="224">
                  <c:v>-1.4731519999999989</c:v>
                </c:pt>
                <c:pt idx="225">
                  <c:v>-1.537151999999999</c:v>
                </c:pt>
                <c:pt idx="226">
                  <c:v>-1.601151999999999</c:v>
                </c:pt>
                <c:pt idx="227">
                  <c:v>-1.6651519999999991</c:v>
                </c:pt>
                <c:pt idx="228">
                  <c:v>-1.7291519999999991</c:v>
                </c:pt>
                <c:pt idx="229">
                  <c:v>-1.7931519999999992</c:v>
                </c:pt>
                <c:pt idx="230">
                  <c:v>-1.8571519999999992</c:v>
                </c:pt>
                <c:pt idx="231">
                  <c:v>-1.9211519999999993</c:v>
                </c:pt>
                <c:pt idx="232">
                  <c:v>-1.9852799999999995</c:v>
                </c:pt>
              </c:numCache>
            </c:numRef>
          </c:xVal>
          <c:yVal>
            <c:numRef>
              <c:f>Sheet2!$AE$23:$AE$255</c:f>
              <c:numCache>
                <c:formatCode>General</c:formatCode>
                <c:ptCount val="2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96.521199999999993</c:v>
                </c:pt>
                <c:pt idx="19">
                  <c:v>100</c:v>
                </c:pt>
                <c:pt idx="20">
                  <c:v>95.744100000000003</c:v>
                </c:pt>
                <c:pt idx="21">
                  <c:v>100</c:v>
                </c:pt>
                <c:pt idx="22">
                  <c:v>95.677300000000002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94.893299999999996</c:v>
                </c:pt>
                <c:pt idx="28">
                  <c:v>100</c:v>
                </c:pt>
                <c:pt idx="29">
                  <c:v>94.945899999999995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95.315299999999993</c:v>
                </c:pt>
                <c:pt idx="34">
                  <c:v>95.248999999999995</c:v>
                </c:pt>
                <c:pt idx="35">
                  <c:v>100</c:v>
                </c:pt>
                <c:pt idx="36">
                  <c:v>95.207300000000004</c:v>
                </c:pt>
                <c:pt idx="37">
                  <c:v>95.418700000000001</c:v>
                </c:pt>
                <c:pt idx="38">
                  <c:v>100</c:v>
                </c:pt>
                <c:pt idx="39">
                  <c:v>95.045299999999997</c:v>
                </c:pt>
                <c:pt idx="40">
                  <c:v>94.375299999999996</c:v>
                </c:pt>
                <c:pt idx="41">
                  <c:v>95.615600000000001</c:v>
                </c:pt>
                <c:pt idx="42">
                  <c:v>94.337999999999994</c:v>
                </c:pt>
                <c:pt idx="43">
                  <c:v>100</c:v>
                </c:pt>
                <c:pt idx="44">
                  <c:v>94.64</c:v>
                </c:pt>
                <c:pt idx="45">
                  <c:v>94.381299999999996</c:v>
                </c:pt>
                <c:pt idx="46">
                  <c:v>95.119699999999995</c:v>
                </c:pt>
                <c:pt idx="47">
                  <c:v>93.969800000000006</c:v>
                </c:pt>
                <c:pt idx="48">
                  <c:v>94.45</c:v>
                </c:pt>
                <c:pt idx="49">
                  <c:v>94.364599999999996</c:v>
                </c:pt>
                <c:pt idx="50">
                  <c:v>95.8416</c:v>
                </c:pt>
                <c:pt idx="51">
                  <c:v>93.753299999999996</c:v>
                </c:pt>
                <c:pt idx="52">
                  <c:v>94.832800000000006</c:v>
                </c:pt>
                <c:pt idx="53">
                  <c:v>93.888900000000007</c:v>
                </c:pt>
                <c:pt idx="54">
                  <c:v>91.163300000000007</c:v>
                </c:pt>
                <c:pt idx="55">
                  <c:v>92.106700000000004</c:v>
                </c:pt>
                <c:pt idx="56">
                  <c:v>93.420699999999997</c:v>
                </c:pt>
                <c:pt idx="57">
                  <c:v>89.802099999999996</c:v>
                </c:pt>
                <c:pt idx="58">
                  <c:v>93.580399999999997</c:v>
                </c:pt>
                <c:pt idx="59">
                  <c:v>91.579899999999995</c:v>
                </c:pt>
                <c:pt idx="60">
                  <c:v>93.795199999999994</c:v>
                </c:pt>
                <c:pt idx="61">
                  <c:v>92.602599999999995</c:v>
                </c:pt>
                <c:pt idx="62">
                  <c:v>91.713499999999996</c:v>
                </c:pt>
                <c:pt idx="63">
                  <c:v>91.918199999999999</c:v>
                </c:pt>
                <c:pt idx="64">
                  <c:v>93.353700000000003</c:v>
                </c:pt>
                <c:pt idx="65">
                  <c:v>92.285499999999999</c:v>
                </c:pt>
                <c:pt idx="66">
                  <c:v>93.893900000000002</c:v>
                </c:pt>
                <c:pt idx="67">
                  <c:v>91.1935</c:v>
                </c:pt>
                <c:pt idx="68">
                  <c:v>92.114500000000007</c:v>
                </c:pt>
                <c:pt idx="69">
                  <c:v>91.415499999999994</c:v>
                </c:pt>
                <c:pt idx="70">
                  <c:v>91.424700000000001</c:v>
                </c:pt>
                <c:pt idx="71">
                  <c:v>91.715199999999996</c:v>
                </c:pt>
                <c:pt idx="72">
                  <c:v>91.333500000000001</c:v>
                </c:pt>
                <c:pt idx="73">
                  <c:v>90.906800000000004</c:v>
                </c:pt>
                <c:pt idx="74">
                  <c:v>90.844099999999997</c:v>
                </c:pt>
                <c:pt idx="75">
                  <c:v>91.235699999999994</c:v>
                </c:pt>
                <c:pt idx="76">
                  <c:v>90.216399999999993</c:v>
                </c:pt>
                <c:pt idx="77">
                  <c:v>90.546700000000001</c:v>
                </c:pt>
                <c:pt idx="78">
                  <c:v>90.314400000000006</c:v>
                </c:pt>
                <c:pt idx="79">
                  <c:v>90.944299999999998</c:v>
                </c:pt>
                <c:pt idx="80">
                  <c:v>90.385800000000003</c:v>
                </c:pt>
                <c:pt idx="81">
                  <c:v>89.549800000000005</c:v>
                </c:pt>
                <c:pt idx="82">
                  <c:v>89.483099999999993</c:v>
                </c:pt>
                <c:pt idx="83">
                  <c:v>89.876599999999996</c:v>
                </c:pt>
                <c:pt idx="84">
                  <c:v>90.056100000000001</c:v>
                </c:pt>
                <c:pt idx="85">
                  <c:v>88.525300000000001</c:v>
                </c:pt>
                <c:pt idx="86">
                  <c:v>88.925299999999993</c:v>
                </c:pt>
                <c:pt idx="87">
                  <c:v>88.899699999999996</c:v>
                </c:pt>
                <c:pt idx="88">
                  <c:v>89.050899999999999</c:v>
                </c:pt>
                <c:pt idx="89">
                  <c:v>88.133899999999997</c:v>
                </c:pt>
                <c:pt idx="90">
                  <c:v>87.203599999999994</c:v>
                </c:pt>
                <c:pt idx="91">
                  <c:v>87.126900000000006</c:v>
                </c:pt>
                <c:pt idx="92">
                  <c:v>87.126300000000001</c:v>
                </c:pt>
                <c:pt idx="93">
                  <c:v>87.583299999999994</c:v>
                </c:pt>
                <c:pt idx="94">
                  <c:v>86.218599999999995</c:v>
                </c:pt>
                <c:pt idx="95">
                  <c:v>85.732699999999994</c:v>
                </c:pt>
                <c:pt idx="96">
                  <c:v>85.250299999999996</c:v>
                </c:pt>
                <c:pt idx="97">
                  <c:v>85.199399999999997</c:v>
                </c:pt>
                <c:pt idx="98">
                  <c:v>85.627200000000002</c:v>
                </c:pt>
                <c:pt idx="99">
                  <c:v>85.227900000000005</c:v>
                </c:pt>
                <c:pt idx="100">
                  <c:v>85.099599999999995</c:v>
                </c:pt>
                <c:pt idx="101">
                  <c:v>84.234499999999997</c:v>
                </c:pt>
                <c:pt idx="102">
                  <c:v>83.813299999999998</c:v>
                </c:pt>
                <c:pt idx="103">
                  <c:v>82.739099999999993</c:v>
                </c:pt>
                <c:pt idx="104">
                  <c:v>83.483900000000006</c:v>
                </c:pt>
                <c:pt idx="105">
                  <c:v>83.150700000000001</c:v>
                </c:pt>
                <c:pt idx="106">
                  <c:v>82.880300000000005</c:v>
                </c:pt>
                <c:pt idx="107">
                  <c:v>82.7089</c:v>
                </c:pt>
                <c:pt idx="108">
                  <c:v>82.418099999999995</c:v>
                </c:pt>
                <c:pt idx="109">
                  <c:v>81.950199999999995</c:v>
                </c:pt>
                <c:pt idx="110">
                  <c:v>81.383899999999997</c:v>
                </c:pt>
                <c:pt idx="111">
                  <c:v>81.244900000000001</c:v>
                </c:pt>
                <c:pt idx="112">
                  <c:v>80.379400000000004</c:v>
                </c:pt>
                <c:pt idx="113">
                  <c:v>80.4679</c:v>
                </c:pt>
                <c:pt idx="114">
                  <c:v>80.950500000000005</c:v>
                </c:pt>
                <c:pt idx="115">
                  <c:v>80.018799999999999</c:v>
                </c:pt>
                <c:pt idx="116">
                  <c:v>80.139799999999994</c:v>
                </c:pt>
                <c:pt idx="117">
                  <c:v>80.394199999999998</c:v>
                </c:pt>
                <c:pt idx="118">
                  <c:v>78.506600000000006</c:v>
                </c:pt>
                <c:pt idx="119">
                  <c:v>78.756500000000003</c:v>
                </c:pt>
                <c:pt idx="120">
                  <c:v>77.504900000000006</c:v>
                </c:pt>
                <c:pt idx="121">
                  <c:v>77.948300000000003</c:v>
                </c:pt>
                <c:pt idx="122">
                  <c:v>77.214799999999997</c:v>
                </c:pt>
                <c:pt idx="123">
                  <c:v>76.871700000000004</c:v>
                </c:pt>
                <c:pt idx="124">
                  <c:v>77.751099999999994</c:v>
                </c:pt>
                <c:pt idx="125">
                  <c:v>76.459900000000005</c:v>
                </c:pt>
                <c:pt idx="126">
                  <c:v>75.477500000000006</c:v>
                </c:pt>
                <c:pt idx="127">
                  <c:v>75.591399999999993</c:v>
                </c:pt>
                <c:pt idx="128">
                  <c:v>75.892300000000006</c:v>
                </c:pt>
                <c:pt idx="129">
                  <c:v>74.850099999999998</c:v>
                </c:pt>
                <c:pt idx="130">
                  <c:v>74.336600000000004</c:v>
                </c:pt>
                <c:pt idx="131">
                  <c:v>73.668199999999999</c:v>
                </c:pt>
                <c:pt idx="132">
                  <c:v>74.600399999999993</c:v>
                </c:pt>
                <c:pt idx="133">
                  <c:v>73.3994</c:v>
                </c:pt>
                <c:pt idx="134">
                  <c:v>73.0745</c:v>
                </c:pt>
                <c:pt idx="135">
                  <c:v>72.206900000000005</c:v>
                </c:pt>
                <c:pt idx="136">
                  <c:v>72.703299999999999</c:v>
                </c:pt>
                <c:pt idx="137">
                  <c:v>71.790599999999998</c:v>
                </c:pt>
                <c:pt idx="138">
                  <c:v>71.113900000000001</c:v>
                </c:pt>
                <c:pt idx="139">
                  <c:v>70.069100000000006</c:v>
                </c:pt>
                <c:pt idx="140">
                  <c:v>70.687299999999993</c:v>
                </c:pt>
                <c:pt idx="141">
                  <c:v>70.740600000000001</c:v>
                </c:pt>
                <c:pt idx="142">
                  <c:v>69.092600000000004</c:v>
                </c:pt>
                <c:pt idx="143">
                  <c:v>69.932000000000002</c:v>
                </c:pt>
                <c:pt idx="144">
                  <c:v>68.374799999999993</c:v>
                </c:pt>
                <c:pt idx="145">
                  <c:v>69.438000000000002</c:v>
                </c:pt>
                <c:pt idx="146">
                  <c:v>67.7834</c:v>
                </c:pt>
                <c:pt idx="147">
                  <c:v>68.751599999999996</c:v>
                </c:pt>
                <c:pt idx="148">
                  <c:v>67.293199999999999</c:v>
                </c:pt>
                <c:pt idx="149">
                  <c:v>67.342799999999997</c:v>
                </c:pt>
                <c:pt idx="150">
                  <c:v>67.011799999999994</c:v>
                </c:pt>
                <c:pt idx="151">
                  <c:v>66.236900000000006</c:v>
                </c:pt>
                <c:pt idx="152">
                  <c:v>65.956900000000005</c:v>
                </c:pt>
                <c:pt idx="153">
                  <c:v>65.581400000000002</c:v>
                </c:pt>
                <c:pt idx="154">
                  <c:v>65.606899999999996</c:v>
                </c:pt>
                <c:pt idx="155">
                  <c:v>64.436599999999999</c:v>
                </c:pt>
                <c:pt idx="156">
                  <c:v>64.194199999999995</c:v>
                </c:pt>
                <c:pt idx="157">
                  <c:v>65.092399999999998</c:v>
                </c:pt>
                <c:pt idx="158">
                  <c:v>64.505600000000001</c:v>
                </c:pt>
                <c:pt idx="159">
                  <c:v>63.194499999999998</c:v>
                </c:pt>
                <c:pt idx="160">
                  <c:v>63.143900000000002</c:v>
                </c:pt>
                <c:pt idx="161">
                  <c:v>63.08</c:v>
                </c:pt>
                <c:pt idx="162">
                  <c:v>62.058999999999997</c:v>
                </c:pt>
                <c:pt idx="163">
                  <c:v>62.5595</c:v>
                </c:pt>
                <c:pt idx="164">
                  <c:v>61.0779</c:v>
                </c:pt>
                <c:pt idx="165">
                  <c:v>61.852499999999999</c:v>
                </c:pt>
                <c:pt idx="166">
                  <c:v>60.936399999999999</c:v>
                </c:pt>
                <c:pt idx="167">
                  <c:v>60.048999999999999</c:v>
                </c:pt>
                <c:pt idx="168">
                  <c:v>60.775599999999997</c:v>
                </c:pt>
                <c:pt idx="169">
                  <c:v>59.213700000000003</c:v>
                </c:pt>
                <c:pt idx="170">
                  <c:v>59.164000000000001</c:v>
                </c:pt>
                <c:pt idx="171">
                  <c:v>59.634500000000003</c:v>
                </c:pt>
                <c:pt idx="172">
                  <c:v>57.8504</c:v>
                </c:pt>
                <c:pt idx="173">
                  <c:v>58.250799999999998</c:v>
                </c:pt>
                <c:pt idx="174">
                  <c:v>58.987000000000002</c:v>
                </c:pt>
                <c:pt idx="175">
                  <c:v>57.627899999999997</c:v>
                </c:pt>
                <c:pt idx="176">
                  <c:v>57.744300000000003</c:v>
                </c:pt>
                <c:pt idx="177">
                  <c:v>57.282200000000003</c:v>
                </c:pt>
                <c:pt idx="178">
                  <c:v>56.619300000000003</c:v>
                </c:pt>
                <c:pt idx="179">
                  <c:v>56.337800000000001</c:v>
                </c:pt>
                <c:pt idx="180">
                  <c:v>56.104900000000001</c:v>
                </c:pt>
                <c:pt idx="181">
                  <c:v>56.186100000000003</c:v>
                </c:pt>
                <c:pt idx="182">
                  <c:v>55.161099999999998</c:v>
                </c:pt>
                <c:pt idx="183">
                  <c:v>55.414700000000003</c:v>
                </c:pt>
                <c:pt idx="184">
                  <c:v>54.747</c:v>
                </c:pt>
                <c:pt idx="185">
                  <c:v>55.392699999999998</c:v>
                </c:pt>
                <c:pt idx="186">
                  <c:v>54.3018</c:v>
                </c:pt>
                <c:pt idx="187">
                  <c:v>53.773899999999998</c:v>
                </c:pt>
                <c:pt idx="188">
                  <c:v>53.795499999999997</c:v>
                </c:pt>
                <c:pt idx="189">
                  <c:v>52.973399999999998</c:v>
                </c:pt>
                <c:pt idx="190">
                  <c:v>52.970399999999998</c:v>
                </c:pt>
                <c:pt idx="191">
                  <c:v>52.264800000000001</c:v>
                </c:pt>
                <c:pt idx="192">
                  <c:v>52.407699999999998</c:v>
                </c:pt>
                <c:pt idx="193">
                  <c:v>52.203099999999999</c:v>
                </c:pt>
                <c:pt idx="194">
                  <c:v>50.884399999999999</c:v>
                </c:pt>
                <c:pt idx="195">
                  <c:v>51.1601</c:v>
                </c:pt>
                <c:pt idx="196">
                  <c:v>50.965499999999999</c:v>
                </c:pt>
                <c:pt idx="197">
                  <c:v>50.731000000000002</c:v>
                </c:pt>
                <c:pt idx="198">
                  <c:v>50.394599999999997</c:v>
                </c:pt>
                <c:pt idx="199">
                  <c:v>49.770299999999999</c:v>
                </c:pt>
                <c:pt idx="200">
                  <c:v>49.996099999999998</c:v>
                </c:pt>
                <c:pt idx="201">
                  <c:v>49.577300000000001</c:v>
                </c:pt>
                <c:pt idx="202">
                  <c:v>49.816299999999998</c:v>
                </c:pt>
                <c:pt idx="203">
                  <c:v>48.806600000000003</c:v>
                </c:pt>
                <c:pt idx="204">
                  <c:v>48.419699999999999</c:v>
                </c:pt>
                <c:pt idx="205">
                  <c:v>48.6736</c:v>
                </c:pt>
                <c:pt idx="206">
                  <c:v>48.706899999999997</c:v>
                </c:pt>
                <c:pt idx="207">
                  <c:v>47.765799999999999</c:v>
                </c:pt>
                <c:pt idx="208">
                  <c:v>47.646900000000002</c:v>
                </c:pt>
                <c:pt idx="209">
                  <c:v>47.904499999999999</c:v>
                </c:pt>
                <c:pt idx="210">
                  <c:v>47.567100000000003</c:v>
                </c:pt>
                <c:pt idx="211">
                  <c:v>46.602800000000002</c:v>
                </c:pt>
                <c:pt idx="212">
                  <c:v>46.928899999999999</c:v>
                </c:pt>
                <c:pt idx="213">
                  <c:v>46.462200000000003</c:v>
                </c:pt>
                <c:pt idx="214">
                  <c:v>46.464500000000001</c:v>
                </c:pt>
                <c:pt idx="215">
                  <c:v>46.394100000000002</c:v>
                </c:pt>
                <c:pt idx="216">
                  <c:v>46.640700000000002</c:v>
                </c:pt>
                <c:pt idx="217">
                  <c:v>46.442399999999999</c:v>
                </c:pt>
                <c:pt idx="218">
                  <c:v>45.203499999999998</c:v>
                </c:pt>
                <c:pt idx="219">
                  <c:v>44.967500000000001</c:v>
                </c:pt>
                <c:pt idx="220">
                  <c:v>45.1693</c:v>
                </c:pt>
                <c:pt idx="221">
                  <c:v>44.534700000000001</c:v>
                </c:pt>
                <c:pt idx="222">
                  <c:v>45.054600000000001</c:v>
                </c:pt>
                <c:pt idx="223">
                  <c:v>44.789200000000001</c:v>
                </c:pt>
                <c:pt idx="224">
                  <c:v>45.187100000000001</c:v>
                </c:pt>
                <c:pt idx="225">
                  <c:v>43.87</c:v>
                </c:pt>
                <c:pt idx="226">
                  <c:v>44.703899999999997</c:v>
                </c:pt>
                <c:pt idx="227">
                  <c:v>44.688699999999997</c:v>
                </c:pt>
                <c:pt idx="228">
                  <c:v>43.800699999999999</c:v>
                </c:pt>
                <c:pt idx="229">
                  <c:v>43.428699999999999</c:v>
                </c:pt>
                <c:pt idx="230">
                  <c:v>43.9848</c:v>
                </c:pt>
                <c:pt idx="231">
                  <c:v>43.778700000000001</c:v>
                </c:pt>
                <c:pt idx="232">
                  <c:v>43.381300000000003</c:v>
                </c:pt>
              </c:numCache>
            </c:numRef>
          </c:yVal>
          <c:smooth val="1"/>
        </c:ser>
        <c:ser>
          <c:idx val="3"/>
          <c:order val="4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Sheet2!$AF$23:$AF$255</c:f>
              <c:numCache>
                <c:formatCode>General</c:formatCode>
                <c:ptCount val="233"/>
                <c:pt idx="0">
                  <c:v>2.4</c:v>
                </c:pt>
                <c:pt idx="1">
                  <c:v>2.3895</c:v>
                </c:pt>
                <c:pt idx="2">
                  <c:v>2.379</c:v>
                </c:pt>
                <c:pt idx="3">
                  <c:v>2.3685</c:v>
                </c:pt>
                <c:pt idx="4">
                  <c:v>2.3580000000000001</c:v>
                </c:pt>
                <c:pt idx="5">
                  <c:v>2.3475000000000001</c:v>
                </c:pt>
                <c:pt idx="6">
                  <c:v>2.3370000000000002</c:v>
                </c:pt>
                <c:pt idx="7">
                  <c:v>2.3265000000000002</c:v>
                </c:pt>
                <c:pt idx="8">
                  <c:v>2.3160000000000003</c:v>
                </c:pt>
                <c:pt idx="10">
                  <c:v>2.3055000000000003</c:v>
                </c:pt>
                <c:pt idx="11">
                  <c:v>2.2950000000000004</c:v>
                </c:pt>
                <c:pt idx="12">
                  <c:v>2.2845000000000004</c:v>
                </c:pt>
                <c:pt idx="13">
                  <c:v>2.2740000000000005</c:v>
                </c:pt>
                <c:pt idx="14">
                  <c:v>2.2635000000000005</c:v>
                </c:pt>
                <c:pt idx="15">
                  <c:v>2.2530000000000006</c:v>
                </c:pt>
                <c:pt idx="16">
                  <c:v>2.2425000000000006</c:v>
                </c:pt>
                <c:pt idx="17">
                  <c:v>2.2320000000000007</c:v>
                </c:pt>
                <c:pt idx="18">
                  <c:v>2.2215000000000007</c:v>
                </c:pt>
                <c:pt idx="19">
                  <c:v>2.2110000000000007</c:v>
                </c:pt>
                <c:pt idx="20">
                  <c:v>2.2005000000000008</c:v>
                </c:pt>
                <c:pt idx="21">
                  <c:v>2.1900000000000008</c:v>
                </c:pt>
                <c:pt idx="22">
                  <c:v>2.1795000000000009</c:v>
                </c:pt>
                <c:pt idx="23">
                  <c:v>2.1690000000000009</c:v>
                </c:pt>
                <c:pt idx="24">
                  <c:v>2.158500000000001</c:v>
                </c:pt>
                <c:pt idx="25">
                  <c:v>2.148000000000001</c:v>
                </c:pt>
                <c:pt idx="26">
                  <c:v>2.1375000000000011</c:v>
                </c:pt>
                <c:pt idx="27">
                  <c:v>2.1270000000000011</c:v>
                </c:pt>
                <c:pt idx="28">
                  <c:v>2.1165000000000012</c:v>
                </c:pt>
                <c:pt idx="29">
                  <c:v>2.1060000000000012</c:v>
                </c:pt>
                <c:pt idx="30">
                  <c:v>2.0955000000000013</c:v>
                </c:pt>
                <c:pt idx="31">
                  <c:v>2.0850000000000013</c:v>
                </c:pt>
                <c:pt idx="32">
                  <c:v>2.0745000000000013</c:v>
                </c:pt>
                <c:pt idx="33">
                  <c:v>2.0640000000000014</c:v>
                </c:pt>
                <c:pt idx="34">
                  <c:v>2.0535000000000014</c:v>
                </c:pt>
                <c:pt idx="35">
                  <c:v>2.0430000000000015</c:v>
                </c:pt>
                <c:pt idx="36">
                  <c:v>2.0325000000000015</c:v>
                </c:pt>
                <c:pt idx="37">
                  <c:v>2.0220000000000016</c:v>
                </c:pt>
                <c:pt idx="38">
                  <c:v>2.0115000000000016</c:v>
                </c:pt>
                <c:pt idx="39">
                  <c:v>2.0010000000000017</c:v>
                </c:pt>
                <c:pt idx="40">
                  <c:v>1.9905000000000017</c:v>
                </c:pt>
                <c:pt idx="41">
                  <c:v>1.9800000000000018</c:v>
                </c:pt>
                <c:pt idx="42">
                  <c:v>1.9695000000000018</c:v>
                </c:pt>
                <c:pt idx="43">
                  <c:v>1.9590000000000019</c:v>
                </c:pt>
                <c:pt idx="44">
                  <c:v>1.9485000000000019</c:v>
                </c:pt>
                <c:pt idx="45">
                  <c:v>1.9380000000000019</c:v>
                </c:pt>
                <c:pt idx="46">
                  <c:v>1.927500000000002</c:v>
                </c:pt>
                <c:pt idx="47">
                  <c:v>1.917000000000002</c:v>
                </c:pt>
                <c:pt idx="48">
                  <c:v>1.9065000000000021</c:v>
                </c:pt>
                <c:pt idx="49">
                  <c:v>1.8960000000000021</c:v>
                </c:pt>
                <c:pt idx="50">
                  <c:v>1.8855000000000022</c:v>
                </c:pt>
                <c:pt idx="51">
                  <c:v>1.8750000000000022</c:v>
                </c:pt>
                <c:pt idx="52">
                  <c:v>1.8645000000000023</c:v>
                </c:pt>
                <c:pt idx="53">
                  <c:v>1.8540000000000023</c:v>
                </c:pt>
                <c:pt idx="54">
                  <c:v>1.8435000000000024</c:v>
                </c:pt>
                <c:pt idx="55">
                  <c:v>1.8330000000000024</c:v>
                </c:pt>
                <c:pt idx="56">
                  <c:v>1.8225000000000025</c:v>
                </c:pt>
                <c:pt idx="57">
                  <c:v>1.8120000000000025</c:v>
                </c:pt>
                <c:pt idx="58">
                  <c:v>1.8015000000000025</c:v>
                </c:pt>
                <c:pt idx="59">
                  <c:v>1.7910000000000026</c:v>
                </c:pt>
                <c:pt idx="60">
                  <c:v>1.7805000000000026</c:v>
                </c:pt>
                <c:pt idx="61">
                  <c:v>1.7700000000000027</c:v>
                </c:pt>
                <c:pt idx="62">
                  <c:v>1.7595000000000027</c:v>
                </c:pt>
                <c:pt idx="63">
                  <c:v>1.7490000000000028</c:v>
                </c:pt>
                <c:pt idx="64">
                  <c:v>1.7385000000000028</c:v>
                </c:pt>
                <c:pt idx="65">
                  <c:v>1.7280000000000029</c:v>
                </c:pt>
                <c:pt idx="66">
                  <c:v>1.7175000000000029</c:v>
                </c:pt>
                <c:pt idx="67">
                  <c:v>1.707000000000003</c:v>
                </c:pt>
                <c:pt idx="68">
                  <c:v>1.696500000000003</c:v>
                </c:pt>
                <c:pt idx="69">
                  <c:v>1.6860000000000031</c:v>
                </c:pt>
                <c:pt idx="70">
                  <c:v>1.6755000000000031</c:v>
                </c:pt>
                <c:pt idx="71">
                  <c:v>1.6650000000000031</c:v>
                </c:pt>
                <c:pt idx="72">
                  <c:v>1.6545000000000032</c:v>
                </c:pt>
                <c:pt idx="73">
                  <c:v>1.6440000000000032</c:v>
                </c:pt>
                <c:pt idx="74">
                  <c:v>1.6335000000000033</c:v>
                </c:pt>
                <c:pt idx="75">
                  <c:v>1.6230000000000033</c:v>
                </c:pt>
                <c:pt idx="76">
                  <c:v>1.6125000000000034</c:v>
                </c:pt>
                <c:pt idx="77">
                  <c:v>1.6020000000000034</c:v>
                </c:pt>
                <c:pt idx="78">
                  <c:v>1.5915000000000035</c:v>
                </c:pt>
                <c:pt idx="79">
                  <c:v>1.5810000000000035</c:v>
                </c:pt>
                <c:pt idx="80">
                  <c:v>1.5705000000000036</c:v>
                </c:pt>
                <c:pt idx="81">
                  <c:v>1.5600000000000036</c:v>
                </c:pt>
                <c:pt idx="82">
                  <c:v>1.5495000000000037</c:v>
                </c:pt>
                <c:pt idx="83">
                  <c:v>1.5390000000000037</c:v>
                </c:pt>
                <c:pt idx="84">
                  <c:v>1.5285000000000037</c:v>
                </c:pt>
                <c:pt idx="85">
                  <c:v>1.5180000000000038</c:v>
                </c:pt>
                <c:pt idx="86">
                  <c:v>1.5075000000000038</c:v>
                </c:pt>
                <c:pt idx="87">
                  <c:v>1.4970000000000039</c:v>
                </c:pt>
                <c:pt idx="88">
                  <c:v>1.4865000000000039</c:v>
                </c:pt>
                <c:pt idx="89">
                  <c:v>1.476000000000004</c:v>
                </c:pt>
                <c:pt idx="90">
                  <c:v>1.465500000000004</c:v>
                </c:pt>
                <c:pt idx="91">
                  <c:v>1.4550000000000041</c:v>
                </c:pt>
                <c:pt idx="92">
                  <c:v>1.4445000000000041</c:v>
                </c:pt>
                <c:pt idx="93">
                  <c:v>1.4340000000000042</c:v>
                </c:pt>
                <c:pt idx="94">
                  <c:v>1.4235000000000042</c:v>
                </c:pt>
                <c:pt idx="95">
                  <c:v>1.4130000000000043</c:v>
                </c:pt>
                <c:pt idx="96">
                  <c:v>1.4025000000000043</c:v>
                </c:pt>
                <c:pt idx="97">
                  <c:v>1.3920000000000043</c:v>
                </c:pt>
                <c:pt idx="98">
                  <c:v>1.3815000000000044</c:v>
                </c:pt>
                <c:pt idx="99">
                  <c:v>1.3710000000000044</c:v>
                </c:pt>
                <c:pt idx="100">
                  <c:v>1.3605000000000045</c:v>
                </c:pt>
                <c:pt idx="101">
                  <c:v>1.3500000000000045</c:v>
                </c:pt>
                <c:pt idx="102">
                  <c:v>1.3395000000000046</c:v>
                </c:pt>
                <c:pt idx="103">
                  <c:v>1.3290000000000046</c:v>
                </c:pt>
                <c:pt idx="104">
                  <c:v>1.3185000000000047</c:v>
                </c:pt>
                <c:pt idx="105">
                  <c:v>1.3080000000000047</c:v>
                </c:pt>
                <c:pt idx="106">
                  <c:v>1.2975000000000048</c:v>
                </c:pt>
                <c:pt idx="107">
                  <c:v>1.2870000000000048</c:v>
                </c:pt>
                <c:pt idx="108">
                  <c:v>1.2765000000000049</c:v>
                </c:pt>
                <c:pt idx="109">
                  <c:v>1.2660000000000049</c:v>
                </c:pt>
                <c:pt idx="110">
                  <c:v>1.2555000000000049</c:v>
                </c:pt>
                <c:pt idx="111">
                  <c:v>1.245000000000005</c:v>
                </c:pt>
                <c:pt idx="112">
                  <c:v>1.234500000000005</c:v>
                </c:pt>
                <c:pt idx="113">
                  <c:v>1.2240000000000051</c:v>
                </c:pt>
                <c:pt idx="114">
                  <c:v>1.2135000000000051</c:v>
                </c:pt>
                <c:pt idx="115">
                  <c:v>1.2030000000000052</c:v>
                </c:pt>
                <c:pt idx="116">
                  <c:v>1.1925000000000052</c:v>
                </c:pt>
                <c:pt idx="117">
                  <c:v>1.1820000000000053</c:v>
                </c:pt>
                <c:pt idx="118">
                  <c:v>1.1715000000000053</c:v>
                </c:pt>
                <c:pt idx="119">
                  <c:v>1.1610000000000054</c:v>
                </c:pt>
                <c:pt idx="120">
                  <c:v>1.1505000000000054</c:v>
                </c:pt>
                <c:pt idx="121">
                  <c:v>1.1400000000000055</c:v>
                </c:pt>
                <c:pt idx="122">
                  <c:v>1.1295000000000055</c:v>
                </c:pt>
                <c:pt idx="123">
                  <c:v>1.1190000000000055</c:v>
                </c:pt>
                <c:pt idx="124">
                  <c:v>1.1085000000000056</c:v>
                </c:pt>
                <c:pt idx="125">
                  <c:v>1.0980000000000056</c:v>
                </c:pt>
                <c:pt idx="126">
                  <c:v>1.0875000000000057</c:v>
                </c:pt>
                <c:pt idx="127">
                  <c:v>1.0770000000000057</c:v>
                </c:pt>
                <c:pt idx="128">
                  <c:v>1.0665000000000058</c:v>
                </c:pt>
                <c:pt idx="129">
                  <c:v>1.0560000000000058</c:v>
                </c:pt>
                <c:pt idx="130">
                  <c:v>1.0455000000000059</c:v>
                </c:pt>
                <c:pt idx="131">
                  <c:v>1.0350000000000059</c:v>
                </c:pt>
                <c:pt idx="132">
                  <c:v>1.024500000000006</c:v>
                </c:pt>
                <c:pt idx="133">
                  <c:v>1.014000000000006</c:v>
                </c:pt>
                <c:pt idx="134">
                  <c:v>1.0035000000000061</c:v>
                </c:pt>
                <c:pt idx="135">
                  <c:v>0.9930000000000061</c:v>
                </c:pt>
                <c:pt idx="136">
                  <c:v>0.98250000000000615</c:v>
                </c:pt>
                <c:pt idx="137">
                  <c:v>0.97200000000000619</c:v>
                </c:pt>
                <c:pt idx="138">
                  <c:v>0.96150000000000624</c:v>
                </c:pt>
                <c:pt idx="139">
                  <c:v>0.95100000000000628</c:v>
                </c:pt>
                <c:pt idx="140">
                  <c:v>0.94050000000000633</c:v>
                </c:pt>
                <c:pt idx="141">
                  <c:v>0.93000000000000638</c:v>
                </c:pt>
                <c:pt idx="142">
                  <c:v>0.91950000000000642</c:v>
                </c:pt>
                <c:pt idx="143">
                  <c:v>0.90900000000000647</c:v>
                </c:pt>
                <c:pt idx="144">
                  <c:v>0.89850000000000652</c:v>
                </c:pt>
                <c:pt idx="145">
                  <c:v>0.88800000000000656</c:v>
                </c:pt>
                <c:pt idx="146">
                  <c:v>0.87750000000000661</c:v>
                </c:pt>
                <c:pt idx="147">
                  <c:v>0.86700000000000665</c:v>
                </c:pt>
                <c:pt idx="148">
                  <c:v>0.8565000000000067</c:v>
                </c:pt>
                <c:pt idx="149">
                  <c:v>0.84600000000000675</c:v>
                </c:pt>
                <c:pt idx="150">
                  <c:v>0.83550000000000679</c:v>
                </c:pt>
                <c:pt idx="151">
                  <c:v>0.82500000000000684</c:v>
                </c:pt>
                <c:pt idx="152">
                  <c:v>0.81450000000000689</c:v>
                </c:pt>
                <c:pt idx="153">
                  <c:v>0.80400000000000693</c:v>
                </c:pt>
                <c:pt idx="154">
                  <c:v>0.79350000000000698</c:v>
                </c:pt>
                <c:pt idx="155">
                  <c:v>0.78300000000000702</c:v>
                </c:pt>
                <c:pt idx="156">
                  <c:v>0.77250000000000707</c:v>
                </c:pt>
                <c:pt idx="157">
                  <c:v>0.76200000000000712</c:v>
                </c:pt>
                <c:pt idx="158">
                  <c:v>0.75150000000000716</c:v>
                </c:pt>
                <c:pt idx="159">
                  <c:v>0.74100000000000721</c:v>
                </c:pt>
                <c:pt idx="160">
                  <c:v>0.73050000000000725</c:v>
                </c:pt>
                <c:pt idx="161">
                  <c:v>0.7200000000000073</c:v>
                </c:pt>
                <c:pt idx="162">
                  <c:v>0.70950000000000735</c:v>
                </c:pt>
                <c:pt idx="163">
                  <c:v>0.69900000000000739</c:v>
                </c:pt>
                <c:pt idx="164">
                  <c:v>0.68850000000000744</c:v>
                </c:pt>
                <c:pt idx="165">
                  <c:v>0.67800000000000749</c:v>
                </c:pt>
                <c:pt idx="166">
                  <c:v>0.66750000000000753</c:v>
                </c:pt>
                <c:pt idx="167">
                  <c:v>0.65700000000000758</c:v>
                </c:pt>
                <c:pt idx="168">
                  <c:v>0.64650000000000762</c:v>
                </c:pt>
                <c:pt idx="169">
                  <c:v>0.63600000000000767</c:v>
                </c:pt>
                <c:pt idx="170">
                  <c:v>0.62550000000000772</c:v>
                </c:pt>
                <c:pt idx="171">
                  <c:v>0.61500000000000776</c:v>
                </c:pt>
                <c:pt idx="172">
                  <c:v>0.60450000000000781</c:v>
                </c:pt>
                <c:pt idx="173">
                  <c:v>0.59400000000000786</c:v>
                </c:pt>
                <c:pt idx="174">
                  <c:v>0.5835000000000079</c:v>
                </c:pt>
                <c:pt idx="175">
                  <c:v>0.57300000000000795</c:v>
                </c:pt>
                <c:pt idx="176">
                  <c:v>0.56250000000000799</c:v>
                </c:pt>
                <c:pt idx="177">
                  <c:v>0.55200000000000804</c:v>
                </c:pt>
                <c:pt idx="178">
                  <c:v>0.54150000000000809</c:v>
                </c:pt>
                <c:pt idx="179">
                  <c:v>0.53100000000000813</c:v>
                </c:pt>
                <c:pt idx="180">
                  <c:v>0.52050000000000818</c:v>
                </c:pt>
                <c:pt idx="181">
                  <c:v>0.51000000000000822</c:v>
                </c:pt>
                <c:pt idx="182">
                  <c:v>0.49950000000000822</c:v>
                </c:pt>
                <c:pt idx="183">
                  <c:v>0.48900000000000821</c:v>
                </c:pt>
                <c:pt idx="184">
                  <c:v>0.4785000000000082</c:v>
                </c:pt>
                <c:pt idx="185">
                  <c:v>0.46800000000000819</c:v>
                </c:pt>
                <c:pt idx="186">
                  <c:v>0.45750000000000818</c:v>
                </c:pt>
                <c:pt idx="187">
                  <c:v>0.44700000000000817</c:v>
                </c:pt>
                <c:pt idx="188">
                  <c:v>0.43650000000000816</c:v>
                </c:pt>
                <c:pt idx="189">
                  <c:v>0.42600000000000815</c:v>
                </c:pt>
                <c:pt idx="190">
                  <c:v>0.41550000000000814</c:v>
                </c:pt>
                <c:pt idx="191">
                  <c:v>0.40500000000000813</c:v>
                </c:pt>
                <c:pt idx="192">
                  <c:v>0.39450000000000812</c:v>
                </c:pt>
                <c:pt idx="193">
                  <c:v>0.38400000000000811</c:v>
                </c:pt>
                <c:pt idx="194">
                  <c:v>0.3735000000000081</c:v>
                </c:pt>
                <c:pt idx="195">
                  <c:v>0.36300000000000809</c:v>
                </c:pt>
                <c:pt idx="196">
                  <c:v>0.35250000000000808</c:v>
                </c:pt>
                <c:pt idx="197">
                  <c:v>0.34200000000000808</c:v>
                </c:pt>
                <c:pt idx="198">
                  <c:v>0.33150000000000807</c:v>
                </c:pt>
                <c:pt idx="199">
                  <c:v>0.32100000000000806</c:v>
                </c:pt>
                <c:pt idx="200">
                  <c:v>0.31050000000000805</c:v>
                </c:pt>
                <c:pt idx="201">
                  <c:v>0.30000000000000804</c:v>
                </c:pt>
                <c:pt idx="202">
                  <c:v>0.28950000000000803</c:v>
                </c:pt>
                <c:pt idx="203">
                  <c:v>0.27900000000000802</c:v>
                </c:pt>
                <c:pt idx="204">
                  <c:v>0.26850000000000801</c:v>
                </c:pt>
                <c:pt idx="205">
                  <c:v>0.258000000000008</c:v>
                </c:pt>
                <c:pt idx="206">
                  <c:v>0.24750000000000799</c:v>
                </c:pt>
                <c:pt idx="207">
                  <c:v>0.23700000000000798</c:v>
                </c:pt>
                <c:pt idx="208">
                  <c:v>0.22650000000000797</c:v>
                </c:pt>
                <c:pt idx="209">
                  <c:v>0.21600000000000796</c:v>
                </c:pt>
                <c:pt idx="210">
                  <c:v>0.20550000000000795</c:v>
                </c:pt>
                <c:pt idx="211">
                  <c:v>0.19500000000000794</c:v>
                </c:pt>
                <c:pt idx="212">
                  <c:v>0.18450000000000794</c:v>
                </c:pt>
                <c:pt idx="213">
                  <c:v>0.17400000000000793</c:v>
                </c:pt>
                <c:pt idx="214">
                  <c:v>0.16350000000000792</c:v>
                </c:pt>
                <c:pt idx="215">
                  <c:v>0.15300000000000791</c:v>
                </c:pt>
                <c:pt idx="216">
                  <c:v>0.1425000000000079</c:v>
                </c:pt>
                <c:pt idx="217">
                  <c:v>0.13200000000000789</c:v>
                </c:pt>
                <c:pt idx="218">
                  <c:v>0.12150000000000789</c:v>
                </c:pt>
                <c:pt idx="219">
                  <c:v>0.1110000000000079</c:v>
                </c:pt>
                <c:pt idx="220">
                  <c:v>0.1005000000000079</c:v>
                </c:pt>
                <c:pt idx="221">
                  <c:v>9.0000000000007907E-2</c:v>
                </c:pt>
                <c:pt idx="222">
                  <c:v>7.9500000000007912E-2</c:v>
                </c:pt>
                <c:pt idx="223">
                  <c:v>6.9000000000007916E-2</c:v>
                </c:pt>
                <c:pt idx="224">
                  <c:v>5.8500000000007914E-2</c:v>
                </c:pt>
                <c:pt idx="225">
                  <c:v>4.8000000000007911E-2</c:v>
                </c:pt>
                <c:pt idx="226">
                  <c:v>3.7500000000007909E-2</c:v>
                </c:pt>
                <c:pt idx="227">
                  <c:v>2.7000000000007907E-2</c:v>
                </c:pt>
                <c:pt idx="228">
                  <c:v>1.6500000000007904E-2</c:v>
                </c:pt>
                <c:pt idx="229">
                  <c:v>6.0000000000079035E-3</c:v>
                </c:pt>
                <c:pt idx="230">
                  <c:v>-4.4999999999920971E-3</c:v>
                </c:pt>
                <c:pt idx="231">
                  <c:v>-1.4999999999992098E-2</c:v>
                </c:pt>
                <c:pt idx="232">
                  <c:v>-2.5499999999992098E-2</c:v>
                </c:pt>
              </c:numCache>
            </c:numRef>
          </c:xVal>
          <c:yVal>
            <c:numRef>
              <c:f>Sheet2!$AG$23:$AG$255</c:f>
              <c:numCache>
                <c:formatCode>General</c:formatCode>
                <c:ptCount val="2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96.521199999999993</c:v>
                </c:pt>
                <c:pt idx="19">
                  <c:v>100</c:v>
                </c:pt>
                <c:pt idx="20">
                  <c:v>95.744100000000003</c:v>
                </c:pt>
                <c:pt idx="21">
                  <c:v>100</c:v>
                </c:pt>
                <c:pt idx="22">
                  <c:v>95.677300000000002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94.893299999999996</c:v>
                </c:pt>
                <c:pt idx="28">
                  <c:v>100</c:v>
                </c:pt>
                <c:pt idx="29">
                  <c:v>94.945899999999995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95.315299999999993</c:v>
                </c:pt>
                <c:pt idx="34">
                  <c:v>95.248999999999995</c:v>
                </c:pt>
                <c:pt idx="35">
                  <c:v>100</c:v>
                </c:pt>
                <c:pt idx="36">
                  <c:v>95.207300000000004</c:v>
                </c:pt>
                <c:pt idx="37">
                  <c:v>95.418700000000001</c:v>
                </c:pt>
                <c:pt idx="38">
                  <c:v>100</c:v>
                </c:pt>
                <c:pt idx="39">
                  <c:v>95.045299999999997</c:v>
                </c:pt>
                <c:pt idx="40">
                  <c:v>94.375299999999996</c:v>
                </c:pt>
                <c:pt idx="41">
                  <c:v>95.615600000000001</c:v>
                </c:pt>
                <c:pt idx="42">
                  <c:v>94.337999999999994</c:v>
                </c:pt>
                <c:pt idx="43">
                  <c:v>100</c:v>
                </c:pt>
                <c:pt idx="44">
                  <c:v>94.64</c:v>
                </c:pt>
                <c:pt idx="45">
                  <c:v>94.381299999999996</c:v>
                </c:pt>
                <c:pt idx="46">
                  <c:v>95.119699999999995</c:v>
                </c:pt>
                <c:pt idx="47">
                  <c:v>93.969800000000006</c:v>
                </c:pt>
                <c:pt idx="48">
                  <c:v>94.45</c:v>
                </c:pt>
                <c:pt idx="49">
                  <c:v>94.364599999999996</c:v>
                </c:pt>
                <c:pt idx="50">
                  <c:v>95.8416</c:v>
                </c:pt>
                <c:pt idx="51">
                  <c:v>93.753299999999996</c:v>
                </c:pt>
                <c:pt idx="52">
                  <c:v>94.832800000000006</c:v>
                </c:pt>
                <c:pt idx="53">
                  <c:v>93.888900000000007</c:v>
                </c:pt>
                <c:pt idx="54">
                  <c:v>91.163300000000007</c:v>
                </c:pt>
                <c:pt idx="55">
                  <c:v>92.106700000000004</c:v>
                </c:pt>
                <c:pt idx="56">
                  <c:v>93.420699999999997</c:v>
                </c:pt>
                <c:pt idx="57">
                  <c:v>89.802099999999996</c:v>
                </c:pt>
                <c:pt idx="58">
                  <c:v>93.580399999999997</c:v>
                </c:pt>
                <c:pt idx="59">
                  <c:v>91.579899999999995</c:v>
                </c:pt>
                <c:pt idx="60">
                  <c:v>93.795199999999994</c:v>
                </c:pt>
                <c:pt idx="61">
                  <c:v>92.602599999999995</c:v>
                </c:pt>
                <c:pt idx="62">
                  <c:v>91.713499999999996</c:v>
                </c:pt>
                <c:pt idx="63">
                  <c:v>91.918199999999999</c:v>
                </c:pt>
                <c:pt idx="64">
                  <c:v>93.353700000000003</c:v>
                </c:pt>
                <c:pt idx="65">
                  <c:v>92.285499999999999</c:v>
                </c:pt>
                <c:pt idx="66">
                  <c:v>93.893900000000002</c:v>
                </c:pt>
                <c:pt idx="67">
                  <c:v>91.1935</c:v>
                </c:pt>
                <c:pt idx="68">
                  <c:v>92.114500000000007</c:v>
                </c:pt>
                <c:pt idx="69">
                  <c:v>91.415499999999994</c:v>
                </c:pt>
                <c:pt idx="70">
                  <c:v>91.424700000000001</c:v>
                </c:pt>
                <c:pt idx="71">
                  <c:v>91.715199999999996</c:v>
                </c:pt>
                <c:pt idx="72">
                  <c:v>91.333500000000001</c:v>
                </c:pt>
                <c:pt idx="73">
                  <c:v>90.906800000000004</c:v>
                </c:pt>
                <c:pt idx="74">
                  <c:v>90.844099999999997</c:v>
                </c:pt>
                <c:pt idx="75">
                  <c:v>91.235699999999994</c:v>
                </c:pt>
                <c:pt idx="76">
                  <c:v>90.216399999999993</c:v>
                </c:pt>
                <c:pt idx="77">
                  <c:v>90.546700000000001</c:v>
                </c:pt>
                <c:pt idx="78">
                  <c:v>90.314400000000006</c:v>
                </c:pt>
                <c:pt idx="79">
                  <c:v>90.944299999999998</c:v>
                </c:pt>
                <c:pt idx="80">
                  <c:v>90.385800000000003</c:v>
                </c:pt>
                <c:pt idx="81">
                  <c:v>89.549800000000005</c:v>
                </c:pt>
                <c:pt idx="82">
                  <c:v>89.483099999999993</c:v>
                </c:pt>
                <c:pt idx="83">
                  <c:v>89.876599999999996</c:v>
                </c:pt>
                <c:pt idx="84">
                  <c:v>90.056100000000001</c:v>
                </c:pt>
                <c:pt idx="85">
                  <c:v>88.525300000000001</c:v>
                </c:pt>
                <c:pt idx="86">
                  <c:v>88.925299999999993</c:v>
                </c:pt>
                <c:pt idx="87">
                  <c:v>88.899699999999996</c:v>
                </c:pt>
                <c:pt idx="88">
                  <c:v>89.050899999999999</c:v>
                </c:pt>
                <c:pt idx="89">
                  <c:v>88.133899999999997</c:v>
                </c:pt>
                <c:pt idx="90">
                  <c:v>87.203599999999994</c:v>
                </c:pt>
                <c:pt idx="91">
                  <c:v>87.126900000000006</c:v>
                </c:pt>
                <c:pt idx="92">
                  <c:v>87.126300000000001</c:v>
                </c:pt>
                <c:pt idx="93">
                  <c:v>87.583299999999994</c:v>
                </c:pt>
                <c:pt idx="94">
                  <c:v>86.218599999999995</c:v>
                </c:pt>
                <c:pt idx="95">
                  <c:v>85.732699999999994</c:v>
                </c:pt>
                <c:pt idx="96">
                  <c:v>85.250299999999996</c:v>
                </c:pt>
                <c:pt idx="97">
                  <c:v>85.199399999999997</c:v>
                </c:pt>
                <c:pt idx="98">
                  <c:v>85.627200000000002</c:v>
                </c:pt>
                <c:pt idx="99">
                  <c:v>85.227900000000005</c:v>
                </c:pt>
                <c:pt idx="100">
                  <c:v>85.099599999999995</c:v>
                </c:pt>
                <c:pt idx="101">
                  <c:v>84.234499999999997</c:v>
                </c:pt>
                <c:pt idx="102">
                  <c:v>83.813299999999998</c:v>
                </c:pt>
                <c:pt idx="103">
                  <c:v>82.739099999999993</c:v>
                </c:pt>
                <c:pt idx="104">
                  <c:v>83.483900000000006</c:v>
                </c:pt>
                <c:pt idx="105">
                  <c:v>83.150700000000001</c:v>
                </c:pt>
                <c:pt idx="106">
                  <c:v>82.880300000000005</c:v>
                </c:pt>
                <c:pt idx="107">
                  <c:v>82.7089</c:v>
                </c:pt>
                <c:pt idx="108">
                  <c:v>82.418099999999995</c:v>
                </c:pt>
                <c:pt idx="109">
                  <c:v>81.950199999999995</c:v>
                </c:pt>
                <c:pt idx="110">
                  <c:v>81.383899999999997</c:v>
                </c:pt>
                <c:pt idx="111">
                  <c:v>81.244900000000001</c:v>
                </c:pt>
                <c:pt idx="112">
                  <c:v>80.379400000000004</c:v>
                </c:pt>
                <c:pt idx="113">
                  <c:v>80.4679</c:v>
                </c:pt>
                <c:pt idx="114">
                  <c:v>80.950500000000005</c:v>
                </c:pt>
                <c:pt idx="115">
                  <c:v>80.018799999999999</c:v>
                </c:pt>
                <c:pt idx="116">
                  <c:v>80.139799999999994</c:v>
                </c:pt>
                <c:pt idx="117">
                  <c:v>80.394199999999998</c:v>
                </c:pt>
                <c:pt idx="118">
                  <c:v>78.506600000000006</c:v>
                </c:pt>
                <c:pt idx="119">
                  <c:v>78.756500000000003</c:v>
                </c:pt>
                <c:pt idx="120">
                  <c:v>77.504900000000006</c:v>
                </c:pt>
                <c:pt idx="121">
                  <c:v>77.948300000000003</c:v>
                </c:pt>
                <c:pt idx="122">
                  <c:v>77.214799999999997</c:v>
                </c:pt>
                <c:pt idx="123">
                  <c:v>76.871700000000004</c:v>
                </c:pt>
                <c:pt idx="124">
                  <c:v>77.751099999999994</c:v>
                </c:pt>
                <c:pt idx="125">
                  <c:v>76.459900000000005</c:v>
                </c:pt>
                <c:pt idx="126">
                  <c:v>75.477500000000006</c:v>
                </c:pt>
                <c:pt idx="127">
                  <c:v>75.591399999999993</c:v>
                </c:pt>
                <c:pt idx="128">
                  <c:v>75.892300000000006</c:v>
                </c:pt>
                <c:pt idx="129">
                  <c:v>74.850099999999998</c:v>
                </c:pt>
                <c:pt idx="130">
                  <c:v>74.336600000000004</c:v>
                </c:pt>
                <c:pt idx="131">
                  <c:v>73.668199999999999</c:v>
                </c:pt>
                <c:pt idx="132">
                  <c:v>74.600399999999993</c:v>
                </c:pt>
                <c:pt idx="133">
                  <c:v>73.3994</c:v>
                </c:pt>
                <c:pt idx="134">
                  <c:v>73.0745</c:v>
                </c:pt>
                <c:pt idx="135">
                  <c:v>72.206900000000005</c:v>
                </c:pt>
                <c:pt idx="136">
                  <c:v>72.703299999999999</c:v>
                </c:pt>
                <c:pt idx="137">
                  <c:v>71.790599999999998</c:v>
                </c:pt>
                <c:pt idx="138">
                  <c:v>71.113900000000001</c:v>
                </c:pt>
                <c:pt idx="139">
                  <c:v>70.069100000000006</c:v>
                </c:pt>
                <c:pt idx="140">
                  <c:v>70.687299999999993</c:v>
                </c:pt>
                <c:pt idx="141">
                  <c:v>70.740600000000001</c:v>
                </c:pt>
                <c:pt idx="142">
                  <c:v>69.092600000000004</c:v>
                </c:pt>
                <c:pt idx="143">
                  <c:v>69.932000000000002</c:v>
                </c:pt>
                <c:pt idx="144">
                  <c:v>68.374799999999993</c:v>
                </c:pt>
                <c:pt idx="145">
                  <c:v>69.438000000000002</c:v>
                </c:pt>
                <c:pt idx="146">
                  <c:v>67.7834</c:v>
                </c:pt>
                <c:pt idx="147">
                  <c:v>68.751599999999996</c:v>
                </c:pt>
                <c:pt idx="148">
                  <c:v>67.293199999999999</c:v>
                </c:pt>
                <c:pt idx="149">
                  <c:v>67.342799999999997</c:v>
                </c:pt>
                <c:pt idx="150">
                  <c:v>67.011799999999994</c:v>
                </c:pt>
                <c:pt idx="151">
                  <c:v>66.236900000000006</c:v>
                </c:pt>
                <c:pt idx="152">
                  <c:v>65.956900000000005</c:v>
                </c:pt>
                <c:pt idx="153">
                  <c:v>65.581400000000002</c:v>
                </c:pt>
                <c:pt idx="154">
                  <c:v>65.606899999999996</c:v>
                </c:pt>
                <c:pt idx="155">
                  <c:v>64.436599999999999</c:v>
                </c:pt>
                <c:pt idx="156">
                  <c:v>64.194199999999995</c:v>
                </c:pt>
                <c:pt idx="157">
                  <c:v>65.092399999999998</c:v>
                </c:pt>
                <c:pt idx="158">
                  <c:v>64.505600000000001</c:v>
                </c:pt>
                <c:pt idx="159">
                  <c:v>63.194499999999998</c:v>
                </c:pt>
                <c:pt idx="160">
                  <c:v>63.143900000000002</c:v>
                </c:pt>
                <c:pt idx="161">
                  <c:v>63.08</c:v>
                </c:pt>
                <c:pt idx="162">
                  <c:v>62.058999999999997</c:v>
                </c:pt>
                <c:pt idx="163">
                  <c:v>62.5595</c:v>
                </c:pt>
                <c:pt idx="164">
                  <c:v>61.0779</c:v>
                </c:pt>
                <c:pt idx="165">
                  <c:v>61.852499999999999</c:v>
                </c:pt>
                <c:pt idx="166">
                  <c:v>60.936399999999999</c:v>
                </c:pt>
                <c:pt idx="167">
                  <c:v>60.048999999999999</c:v>
                </c:pt>
                <c:pt idx="168">
                  <c:v>60.775599999999997</c:v>
                </c:pt>
                <c:pt idx="169">
                  <c:v>59.213700000000003</c:v>
                </c:pt>
                <c:pt idx="170">
                  <c:v>59.164000000000001</c:v>
                </c:pt>
                <c:pt idx="171">
                  <c:v>59.634500000000003</c:v>
                </c:pt>
                <c:pt idx="172">
                  <c:v>57.8504</c:v>
                </c:pt>
                <c:pt idx="173">
                  <c:v>58.250799999999998</c:v>
                </c:pt>
                <c:pt idx="174">
                  <c:v>58.987000000000002</c:v>
                </c:pt>
                <c:pt idx="175">
                  <c:v>57.627899999999997</c:v>
                </c:pt>
                <c:pt idx="176">
                  <c:v>57.744300000000003</c:v>
                </c:pt>
                <c:pt idx="177">
                  <c:v>57.282200000000003</c:v>
                </c:pt>
                <c:pt idx="178">
                  <c:v>56.619300000000003</c:v>
                </c:pt>
                <c:pt idx="179">
                  <c:v>56.337800000000001</c:v>
                </c:pt>
                <c:pt idx="180">
                  <c:v>56.104900000000001</c:v>
                </c:pt>
                <c:pt idx="181">
                  <c:v>56.186100000000003</c:v>
                </c:pt>
                <c:pt idx="182">
                  <c:v>55.161099999999998</c:v>
                </c:pt>
                <c:pt idx="183">
                  <c:v>55.414700000000003</c:v>
                </c:pt>
                <c:pt idx="184">
                  <c:v>54.747</c:v>
                </c:pt>
                <c:pt idx="185">
                  <c:v>55.392699999999998</c:v>
                </c:pt>
                <c:pt idx="186">
                  <c:v>54.3018</c:v>
                </c:pt>
                <c:pt idx="187">
                  <c:v>53.773899999999998</c:v>
                </c:pt>
                <c:pt idx="188">
                  <c:v>53.795499999999997</c:v>
                </c:pt>
                <c:pt idx="189">
                  <c:v>52.973399999999998</c:v>
                </c:pt>
                <c:pt idx="190">
                  <c:v>52.970399999999998</c:v>
                </c:pt>
                <c:pt idx="191">
                  <c:v>52.264800000000001</c:v>
                </c:pt>
                <c:pt idx="192">
                  <c:v>52.407699999999998</c:v>
                </c:pt>
                <c:pt idx="193">
                  <c:v>52.203099999999999</c:v>
                </c:pt>
                <c:pt idx="194">
                  <c:v>50.884399999999999</c:v>
                </c:pt>
                <c:pt idx="195">
                  <c:v>51.1601</c:v>
                </c:pt>
                <c:pt idx="196">
                  <c:v>50.965499999999999</c:v>
                </c:pt>
                <c:pt idx="197">
                  <c:v>50.731000000000002</c:v>
                </c:pt>
                <c:pt idx="198">
                  <c:v>50.394599999999997</c:v>
                </c:pt>
                <c:pt idx="199">
                  <c:v>49.770299999999999</c:v>
                </c:pt>
                <c:pt idx="200">
                  <c:v>49.996099999999998</c:v>
                </c:pt>
                <c:pt idx="201">
                  <c:v>49.577300000000001</c:v>
                </c:pt>
                <c:pt idx="202">
                  <c:v>49.816299999999998</c:v>
                </c:pt>
                <c:pt idx="203">
                  <c:v>48.806600000000003</c:v>
                </c:pt>
                <c:pt idx="204">
                  <c:v>48.419699999999999</c:v>
                </c:pt>
                <c:pt idx="205">
                  <c:v>48.6736</c:v>
                </c:pt>
                <c:pt idx="206">
                  <c:v>48.706899999999997</c:v>
                </c:pt>
                <c:pt idx="207">
                  <c:v>47.765799999999999</c:v>
                </c:pt>
                <c:pt idx="208">
                  <c:v>47.646900000000002</c:v>
                </c:pt>
                <c:pt idx="209">
                  <c:v>47.904499999999999</c:v>
                </c:pt>
                <c:pt idx="210">
                  <c:v>47.567100000000003</c:v>
                </c:pt>
                <c:pt idx="211">
                  <c:v>46.602800000000002</c:v>
                </c:pt>
                <c:pt idx="212">
                  <c:v>46.928899999999999</c:v>
                </c:pt>
                <c:pt idx="213">
                  <c:v>46.462200000000003</c:v>
                </c:pt>
                <c:pt idx="214">
                  <c:v>46.464500000000001</c:v>
                </c:pt>
                <c:pt idx="215">
                  <c:v>46.394100000000002</c:v>
                </c:pt>
                <c:pt idx="216">
                  <c:v>46.640700000000002</c:v>
                </c:pt>
                <c:pt idx="217">
                  <c:v>46.442399999999999</c:v>
                </c:pt>
                <c:pt idx="218">
                  <c:v>45.203499999999998</c:v>
                </c:pt>
                <c:pt idx="219">
                  <c:v>44.967500000000001</c:v>
                </c:pt>
                <c:pt idx="220">
                  <c:v>45.1693</c:v>
                </c:pt>
                <c:pt idx="221">
                  <c:v>44.534700000000001</c:v>
                </c:pt>
                <c:pt idx="222">
                  <c:v>45.054600000000001</c:v>
                </c:pt>
                <c:pt idx="223">
                  <c:v>44.789200000000001</c:v>
                </c:pt>
                <c:pt idx="224">
                  <c:v>45.187100000000001</c:v>
                </c:pt>
                <c:pt idx="225">
                  <c:v>43.87</c:v>
                </c:pt>
                <c:pt idx="226">
                  <c:v>44.703899999999997</c:v>
                </c:pt>
                <c:pt idx="227">
                  <c:v>44.688699999999997</c:v>
                </c:pt>
                <c:pt idx="228">
                  <c:v>43.800699999999999</c:v>
                </c:pt>
                <c:pt idx="229">
                  <c:v>43.428699999999999</c:v>
                </c:pt>
                <c:pt idx="230">
                  <c:v>43.9848</c:v>
                </c:pt>
                <c:pt idx="231">
                  <c:v>43.778700000000001</c:v>
                </c:pt>
                <c:pt idx="232">
                  <c:v>43.381300000000003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Sheet2!$C$20:$C$52</c:f>
              <c:numCache>
                <c:formatCode>General</c:formatCode>
                <c:ptCount val="33"/>
                <c:pt idx="0">
                  <c:v>2.121</c:v>
                </c:pt>
                <c:pt idx="1">
                  <c:v>2</c:v>
                </c:pt>
                <c:pt idx="2">
                  <c:v>1.9</c:v>
                </c:pt>
                <c:pt idx="3">
                  <c:v>1.8360000000000001</c:v>
                </c:pt>
                <c:pt idx="4">
                  <c:v>1.8</c:v>
                </c:pt>
                <c:pt idx="5">
                  <c:v>1.7</c:v>
                </c:pt>
                <c:pt idx="6">
                  <c:v>1.6</c:v>
                </c:pt>
                <c:pt idx="7">
                  <c:v>1.5</c:v>
                </c:pt>
                <c:pt idx="8">
                  <c:v>1.4</c:v>
                </c:pt>
                <c:pt idx="9">
                  <c:v>1.3</c:v>
                </c:pt>
                <c:pt idx="10">
                  <c:v>1.2</c:v>
                </c:pt>
                <c:pt idx="11">
                  <c:v>1.1000000000000001</c:v>
                </c:pt>
                <c:pt idx="12">
                  <c:v>1.0569999999999999</c:v>
                </c:pt>
                <c:pt idx="13">
                  <c:v>1</c:v>
                </c:pt>
                <c:pt idx="14">
                  <c:v>0.9</c:v>
                </c:pt>
                <c:pt idx="15">
                  <c:v>0.86799999999999999</c:v>
                </c:pt>
                <c:pt idx="16">
                  <c:v>0.8</c:v>
                </c:pt>
                <c:pt idx="17">
                  <c:v>0.7</c:v>
                </c:pt>
                <c:pt idx="18">
                  <c:v>0.6</c:v>
                </c:pt>
                <c:pt idx="19">
                  <c:v>0.5</c:v>
                </c:pt>
                <c:pt idx="20">
                  <c:v>0.4</c:v>
                </c:pt>
                <c:pt idx="21">
                  <c:v>0.3</c:v>
                </c:pt>
                <c:pt idx="22">
                  <c:v>0.28000000000000003</c:v>
                </c:pt>
                <c:pt idx="23">
                  <c:v>0.25</c:v>
                </c:pt>
                <c:pt idx="24">
                  <c:v>0.21</c:v>
                </c:pt>
                <c:pt idx="25">
                  <c:v>0.2</c:v>
                </c:pt>
                <c:pt idx="26">
                  <c:v>0.15</c:v>
                </c:pt>
                <c:pt idx="27">
                  <c:v>0.1</c:v>
                </c:pt>
                <c:pt idx="28">
                  <c:v>0.05</c:v>
                </c:pt>
                <c:pt idx="29">
                  <c:v>0.04</c:v>
                </c:pt>
                <c:pt idx="30">
                  <c:v>0.03</c:v>
                </c:pt>
                <c:pt idx="31">
                  <c:v>0.02</c:v>
                </c:pt>
                <c:pt idx="32">
                  <c:v>0.01</c:v>
                </c:pt>
              </c:numCache>
            </c:numRef>
          </c:xVal>
          <c:yVal>
            <c:numRef>
              <c:f>Sheet2!$N$20:$N$52</c:f>
              <c:numCache>
                <c:formatCode>General</c:formatCode>
                <c:ptCount val="33"/>
                <c:pt idx="0">
                  <c:v>99.010479027102974</c:v>
                </c:pt>
                <c:pt idx="1">
                  <c:v>98.728867420871993</c:v>
                </c:pt>
                <c:pt idx="2">
                  <c:v>98.436302794326906</c:v>
                </c:pt>
                <c:pt idx="3">
                  <c:v>98.214477020319251</c:v>
                </c:pt>
                <c:pt idx="4">
                  <c:v>98.076035093119913</c:v>
                </c:pt>
                <c:pt idx="5">
                  <c:v>97.632295489522903</c:v>
                </c:pt>
                <c:pt idx="6">
                  <c:v>97.085312891661076</c:v>
                </c:pt>
                <c:pt idx="7">
                  <c:v>96.410753382864925</c:v>
                </c:pt>
                <c:pt idx="8">
                  <c:v>95.578156091089994</c:v>
                </c:pt>
                <c:pt idx="9">
                  <c:v>94.549814693699588</c:v>
                </c:pt>
                <c:pt idx="10">
                  <c:v>93.27776283947297</c:v>
                </c:pt>
                <c:pt idx="11">
                  <c:v>91.701933449506257</c:v>
                </c:pt>
                <c:pt idx="12">
                  <c:v>90.913221263062255</c:v>
                </c:pt>
                <c:pt idx="13">
                  <c:v>89.746744591407762</c:v>
                </c:pt>
                <c:pt idx="14">
                  <c:v>87.31608320649417</c:v>
                </c:pt>
                <c:pt idx="15">
                  <c:v>86.427795874049949</c:v>
                </c:pt>
                <c:pt idx="16">
                  <c:v>84.284142699984287</c:v>
                </c:pt>
                <c:pt idx="17">
                  <c:v>80.491611392898946</c:v>
                </c:pt>
                <c:pt idx="18">
                  <c:v>75.722262685117755</c:v>
                </c:pt>
                <c:pt idx="19">
                  <c:v>69.696969696969688</c:v>
                </c:pt>
                <c:pt idx="20">
                  <c:v>62.034927866362942</c:v>
                </c:pt>
                <c:pt idx="21">
                  <c:v>52.198852772466537</c:v>
                </c:pt>
                <c:pt idx="22">
                  <c:v>50.124688279301743</c:v>
                </c:pt>
                <c:pt idx="23">
                  <c:v>46.236559139784951</c:v>
                </c:pt>
                <c:pt idx="24">
                  <c:v>40.86339444115908</c:v>
                </c:pt>
                <c:pt idx="25">
                  <c:v>39.430648092065418</c:v>
                </c:pt>
                <c:pt idx="26">
                  <c:v>31.600547195622436</c:v>
                </c:pt>
                <c:pt idx="27">
                  <c:v>22.600619195046438</c:v>
                </c:pt>
                <c:pt idx="28">
                  <c:v>12.126537785588754</c:v>
                </c:pt>
                <c:pt idx="29">
                  <c:v>9.9099099099099082</c:v>
                </c:pt>
                <c:pt idx="30">
                  <c:v>7.4930619796484734</c:v>
                </c:pt>
                <c:pt idx="31">
                  <c:v>5.1233396584440225</c:v>
                </c:pt>
                <c:pt idx="32">
                  <c:v>2.6290165530671863</c:v>
                </c:pt>
              </c:numCache>
            </c:numRef>
          </c:yVal>
          <c:smooth val="1"/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Sheet2!$C$23:$C$52</c:f>
              <c:numCache>
                <c:formatCode>General</c:formatCode>
                <c:ptCount val="30"/>
                <c:pt idx="0">
                  <c:v>1.8360000000000001</c:v>
                </c:pt>
                <c:pt idx="1">
                  <c:v>1.8</c:v>
                </c:pt>
                <c:pt idx="2">
                  <c:v>1.7</c:v>
                </c:pt>
                <c:pt idx="3">
                  <c:v>1.6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1.2</c:v>
                </c:pt>
                <c:pt idx="8">
                  <c:v>1.1000000000000001</c:v>
                </c:pt>
                <c:pt idx="9">
                  <c:v>1.0569999999999999</c:v>
                </c:pt>
                <c:pt idx="10">
                  <c:v>1</c:v>
                </c:pt>
                <c:pt idx="11">
                  <c:v>0.9</c:v>
                </c:pt>
                <c:pt idx="12">
                  <c:v>0.86799999999999999</c:v>
                </c:pt>
                <c:pt idx="13">
                  <c:v>0.8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0.25</c:v>
                </c:pt>
                <c:pt idx="21">
                  <c:v>0.21</c:v>
                </c:pt>
                <c:pt idx="22">
                  <c:v>0.2</c:v>
                </c:pt>
                <c:pt idx="23">
                  <c:v>0.15</c:v>
                </c:pt>
                <c:pt idx="24">
                  <c:v>0.1</c:v>
                </c:pt>
                <c:pt idx="25">
                  <c:v>0.05</c:v>
                </c:pt>
                <c:pt idx="26">
                  <c:v>0.04</c:v>
                </c:pt>
                <c:pt idx="27">
                  <c:v>0.03</c:v>
                </c:pt>
                <c:pt idx="28">
                  <c:v>0.02</c:v>
                </c:pt>
                <c:pt idx="29">
                  <c:v>0.01</c:v>
                </c:pt>
              </c:numCache>
            </c:numRef>
          </c:xVal>
          <c:yVal>
            <c:numRef>
              <c:f>Sheet2!$H$23:$H$52</c:f>
              <c:numCache>
                <c:formatCode>General</c:formatCode>
                <c:ptCount val="30"/>
                <c:pt idx="0">
                  <c:v>98.81623144379293</c:v>
                </c:pt>
                <c:pt idx="1">
                  <c:v>98.779744435152253</c:v>
                </c:pt>
                <c:pt idx="2">
                  <c:v>98.653706587211786</c:v>
                </c:pt>
                <c:pt idx="3">
                  <c:v>98.481038114588245</c:v>
                </c:pt>
                <c:pt idx="4">
                  <c:v>98.244599058550406</c:v>
                </c:pt>
                <c:pt idx="5">
                  <c:v>97.920958559319402</c:v>
                </c:pt>
                <c:pt idx="6">
                  <c:v>97.478087322366875</c:v>
                </c:pt>
                <c:pt idx="7">
                  <c:v>96.872204191561792</c:v>
                </c:pt>
                <c:pt idx="8">
                  <c:v>96.043467128410995</c:v>
                </c:pt>
                <c:pt idx="9">
                  <c:v>95.599183254695077</c:v>
                </c:pt>
                <c:pt idx="10">
                  <c:v>94.910085905341177</c:v>
                </c:pt>
                <c:pt idx="11">
                  <c:v>93.36028010365834</c:v>
                </c:pt>
                <c:pt idx="12">
                  <c:v>92.752833794961433</c:v>
                </c:pt>
                <c:pt idx="13">
                  <c:v>91.24129763279376</c:v>
                </c:pt>
                <c:pt idx="14">
                  <c:v>88.344428636215397</c:v>
                </c:pt>
                <c:pt idx="15">
                  <c:v>84.384579032797731</c:v>
                </c:pt>
                <c:pt idx="16">
                  <c:v>78.972501139919046</c:v>
                </c:pt>
                <c:pt idx="17">
                  <c:v>71.577287102991647</c:v>
                </c:pt>
                <c:pt idx="18">
                  <c:v>61.476723692355556</c:v>
                </c:pt>
                <c:pt idx="19">
                  <c:v>59.051386529595369</c:v>
                </c:pt>
                <c:pt idx="20">
                  <c:v>55.119080589039221</c:v>
                </c:pt>
                <c:pt idx="21">
                  <c:v>49.274554752494915</c:v>
                </c:pt>
                <c:pt idx="22">
                  <c:v>47.697272147917431</c:v>
                </c:pt>
                <c:pt idx="23">
                  <c:v>39.045176406490285</c:v>
                </c:pt>
                <c:pt idx="24">
                  <c:v>28.999091806649062</c:v>
                </c:pt>
                <c:pt idx="25">
                  <c:v>17.559175914833716</c:v>
                </c:pt>
                <c:pt idx="26">
                  <c:v>15.189048900586528</c:v>
                </c:pt>
                <c:pt idx="27">
                  <c:v>12.902416793493369</c:v>
                </c:pt>
                <c:pt idx="28">
                  <c:v>10.946639438499574</c:v>
                </c:pt>
                <c:pt idx="29">
                  <c:v>10.568992873032784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087328"/>
        <c:axId val="393086936"/>
      </c:scatterChart>
      <c:valAx>
        <c:axId val="393087328"/>
        <c:scaling>
          <c:orientation val="maxMin"/>
          <c:max val="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86936"/>
        <c:crosses val="autoZero"/>
        <c:crossBetween val="midCat"/>
      </c:valAx>
      <c:valAx>
        <c:axId val="393086936"/>
        <c:scaling>
          <c:orientation val="minMax"/>
          <c:max val="1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8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Sheet2!$C$23:$C$43</c:f>
              <c:numCache>
                <c:formatCode>General</c:formatCode>
                <c:ptCount val="21"/>
                <c:pt idx="0">
                  <c:v>1.8360000000000001</c:v>
                </c:pt>
                <c:pt idx="1">
                  <c:v>1.8</c:v>
                </c:pt>
                <c:pt idx="2">
                  <c:v>1.7</c:v>
                </c:pt>
                <c:pt idx="3">
                  <c:v>1.6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1.2</c:v>
                </c:pt>
                <c:pt idx="8">
                  <c:v>1.1000000000000001</c:v>
                </c:pt>
                <c:pt idx="9">
                  <c:v>1.0569999999999999</c:v>
                </c:pt>
                <c:pt idx="10">
                  <c:v>1</c:v>
                </c:pt>
                <c:pt idx="11">
                  <c:v>0.9</c:v>
                </c:pt>
                <c:pt idx="12">
                  <c:v>0.86799999999999999</c:v>
                </c:pt>
                <c:pt idx="13">
                  <c:v>0.8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0.25</c:v>
                </c:pt>
              </c:numCache>
            </c:numRef>
          </c:xVal>
          <c:yVal>
            <c:numRef>
              <c:f>Sheet2!$I$23:$I$43</c:f>
              <c:numCache>
                <c:formatCode>General</c:formatCode>
                <c:ptCount val="21"/>
                <c:pt idx="0">
                  <c:v>3.5789174912275032</c:v>
                </c:pt>
                <c:pt idx="1">
                  <c:v>3.374245342701037</c:v>
                </c:pt>
                <c:pt idx="2">
                  <c:v>3.024640910606065</c:v>
                </c:pt>
                <c:pt idx="3">
                  <c:v>2.7747657833268198</c:v>
                </c:pt>
                <c:pt idx="4">
                  <c:v>2.5622141574035813</c:v>
                </c:pt>
                <c:pt idx="5">
                  <c:v>2.3690838023998109</c:v>
                </c:pt>
                <c:pt idx="6">
                  <c:v>2.1875905007321967</c:v>
                </c:pt>
                <c:pt idx="7">
                  <c:v>2.0136087862870302</c:v>
                </c:pt>
                <c:pt idx="8">
                  <c:v>1.844601882306494</c:v>
                </c:pt>
                <c:pt idx="9">
                  <c:v>0</c:v>
                </c:pt>
                <c:pt idx="10">
                  <c:v>1.6789387650719991</c:v>
                </c:pt>
                <c:pt idx="11">
                  <c:v>1.515415283751951</c:v>
                </c:pt>
                <c:pt idx="12">
                  <c:v>1.4634037746950808</c:v>
                </c:pt>
                <c:pt idx="13">
                  <c:v>1.3531304147197849</c:v>
                </c:pt>
                <c:pt idx="14">
                  <c:v>1.1912408730612321</c:v>
                </c:pt>
                <c:pt idx="15">
                  <c:v>1.0141403853002513</c:v>
                </c:pt>
                <c:pt idx="16">
                  <c:v>0.86576179548950982</c:v>
                </c:pt>
                <c:pt idx="17">
                  <c:v>0.70059563041532702</c:v>
                </c:pt>
                <c:pt idx="18">
                  <c:v>0.53248564412244981</c:v>
                </c:pt>
                <c:pt idx="19">
                  <c:v>0</c:v>
                </c:pt>
                <c:pt idx="20">
                  <c:v>0.44678829313083279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084976"/>
        <c:axId val="393085368"/>
      </c:scatterChart>
      <c:valAx>
        <c:axId val="39308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85368"/>
        <c:crosses val="autoZero"/>
        <c:crossBetween val="midCat"/>
      </c:valAx>
      <c:valAx>
        <c:axId val="39308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8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Sheet2!$C$20:$C$41</c:f>
              <c:numCache>
                <c:formatCode>General</c:formatCode>
                <c:ptCount val="22"/>
                <c:pt idx="0">
                  <c:v>2.121</c:v>
                </c:pt>
                <c:pt idx="1">
                  <c:v>2</c:v>
                </c:pt>
                <c:pt idx="2">
                  <c:v>1.9</c:v>
                </c:pt>
                <c:pt idx="3">
                  <c:v>1.8360000000000001</c:v>
                </c:pt>
                <c:pt idx="4">
                  <c:v>1.8</c:v>
                </c:pt>
                <c:pt idx="5">
                  <c:v>1.7</c:v>
                </c:pt>
                <c:pt idx="6">
                  <c:v>1.6</c:v>
                </c:pt>
                <c:pt idx="7">
                  <c:v>1.5</c:v>
                </c:pt>
                <c:pt idx="8">
                  <c:v>1.4</c:v>
                </c:pt>
                <c:pt idx="9">
                  <c:v>1.3</c:v>
                </c:pt>
                <c:pt idx="10">
                  <c:v>1.2</c:v>
                </c:pt>
                <c:pt idx="11">
                  <c:v>1.1000000000000001</c:v>
                </c:pt>
                <c:pt idx="12">
                  <c:v>1.0569999999999999</c:v>
                </c:pt>
                <c:pt idx="13">
                  <c:v>1</c:v>
                </c:pt>
                <c:pt idx="14">
                  <c:v>0.9</c:v>
                </c:pt>
                <c:pt idx="15">
                  <c:v>0.86799999999999999</c:v>
                </c:pt>
                <c:pt idx="16">
                  <c:v>0.8</c:v>
                </c:pt>
                <c:pt idx="17">
                  <c:v>0.7</c:v>
                </c:pt>
                <c:pt idx="18">
                  <c:v>0.6</c:v>
                </c:pt>
                <c:pt idx="19">
                  <c:v>0.5</c:v>
                </c:pt>
                <c:pt idx="20">
                  <c:v>0.4</c:v>
                </c:pt>
                <c:pt idx="21">
                  <c:v>0.3</c:v>
                </c:pt>
              </c:numCache>
            </c:numRef>
          </c:xVal>
          <c:yVal>
            <c:numRef>
              <c:f>Sheet2!$Q$20:$Q$41</c:f>
              <c:numCache>
                <c:formatCode>General</c:formatCode>
                <c:ptCount val="22"/>
                <c:pt idx="0">
                  <c:v>3.8484506725325729</c:v>
                </c:pt>
                <c:pt idx="1">
                  <c:v>3.3348879838507242</c:v>
                </c:pt>
                <c:pt idx="2">
                  <c:v>3.0758734188972849</c:v>
                </c:pt>
                <c:pt idx="3">
                  <c:v>2.9347736025983115</c:v>
                </c:pt>
                <c:pt idx="4">
                  <c:v>2.8605155750828613</c:v>
                </c:pt>
                <c:pt idx="5">
                  <c:v>2.6675707592194651</c:v>
                </c:pt>
                <c:pt idx="6">
                  <c:v>2.4880768818426979</c:v>
                </c:pt>
                <c:pt idx="7">
                  <c:v>2.3174172871767444</c:v>
                </c:pt>
                <c:pt idx="8">
                  <c:v>2.1528543019405935</c:v>
                </c:pt>
                <c:pt idx="9">
                  <c:v>1.9926584163919181</c:v>
                </c:pt>
                <c:pt idx="10">
                  <c:v>1.8356007502563558</c:v>
                </c:pt>
                <c:pt idx="11">
                  <c:v>1.6808202614072938</c:v>
                </c:pt>
                <c:pt idx="12">
                  <c:v>1.6148197383041882</c:v>
                </c:pt>
                <c:pt idx="13">
                  <c:v>1.5276840490102053</c:v>
                </c:pt>
                <c:pt idx="14">
                  <c:v>1.3756913357157541</c:v>
                </c:pt>
                <c:pt idx="15">
                  <c:v>1.3274617253997782</c:v>
                </c:pt>
                <c:pt idx="16">
                  <c:v>1.2243675794354967</c:v>
                </c:pt>
                <c:pt idx="17">
                  <c:v>1.0733831423307703</c:v>
                </c:pt>
                <c:pt idx="18">
                  <c:v>0.9223097643350795</c:v>
                </c:pt>
                <c:pt idx="19">
                  <c:v>0.77085837472916074</c:v>
                </c:pt>
                <c:pt idx="20">
                  <c:v>0.61866563961457732</c:v>
                </c:pt>
                <c:pt idx="21">
                  <c:v>0.46524215373838501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086152"/>
        <c:axId val="393086544"/>
      </c:scatterChart>
      <c:valAx>
        <c:axId val="393086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86544"/>
        <c:crosses val="autoZero"/>
        <c:crossBetween val="midCat"/>
      </c:valAx>
      <c:valAx>
        <c:axId val="39308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86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ATS15-149-4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84786592300962382"/>
          <c:h val="0.66496099445902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Sheet2!$AV$22</c:f>
              <c:strCache>
                <c:ptCount val="1"/>
                <c:pt idx="0">
                  <c:v>Al oxide 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Sheet2!$AN$23:$AN$32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24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</c:numCache>
            </c:numRef>
          </c:xVal>
          <c:yVal>
            <c:numRef>
              <c:f>Sheet2!$AV$23:$AV$32</c:f>
              <c:numCache>
                <c:formatCode>General</c:formatCode>
                <c:ptCount val="10"/>
                <c:pt idx="0">
                  <c:v>67.13</c:v>
                </c:pt>
                <c:pt idx="1">
                  <c:v>10.97</c:v>
                </c:pt>
                <c:pt idx="2">
                  <c:v>5.35</c:v>
                </c:pt>
                <c:pt idx="3">
                  <c:v>6.2</c:v>
                </c:pt>
                <c:pt idx="4">
                  <c:v>6.95</c:v>
                </c:pt>
                <c:pt idx="5">
                  <c:v>7.07</c:v>
                </c:pt>
                <c:pt idx="6">
                  <c:v>8.06</c:v>
                </c:pt>
                <c:pt idx="7">
                  <c:v>4.75</c:v>
                </c:pt>
                <c:pt idx="8">
                  <c:v>6.29</c:v>
                </c:pt>
                <c:pt idx="9">
                  <c:v>5.94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Sheet2!$AW$22</c:f>
              <c:strCache>
                <c:ptCount val="1"/>
                <c:pt idx="0">
                  <c:v>Al metal (%)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Sheet2!$AN$23:$AN$32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24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</c:numCache>
            </c:numRef>
          </c:xVal>
          <c:yVal>
            <c:numRef>
              <c:f>Sheet2!$AW$23:$AW$32</c:f>
              <c:numCache>
                <c:formatCode>General</c:formatCode>
                <c:ptCount val="10"/>
                <c:pt idx="0">
                  <c:v>32.870000000000005</c:v>
                </c:pt>
                <c:pt idx="1">
                  <c:v>89.03</c:v>
                </c:pt>
                <c:pt idx="2">
                  <c:v>94.65</c:v>
                </c:pt>
                <c:pt idx="3">
                  <c:v>93.8</c:v>
                </c:pt>
                <c:pt idx="4">
                  <c:v>93.05</c:v>
                </c:pt>
                <c:pt idx="5">
                  <c:v>92.93</c:v>
                </c:pt>
                <c:pt idx="6">
                  <c:v>91.94</c:v>
                </c:pt>
                <c:pt idx="7">
                  <c:v>95.25</c:v>
                </c:pt>
                <c:pt idx="8">
                  <c:v>93.71</c:v>
                </c:pt>
                <c:pt idx="9">
                  <c:v>94.06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322208"/>
        <c:axId val="373324560"/>
      </c:scatterChart>
      <c:scatterChart>
        <c:scatterStyle val="smoothMarker"/>
        <c:varyColors val="0"/>
        <c:ser>
          <c:idx val="2"/>
          <c:order val="2"/>
          <c:tx>
            <c:v>Oxide:Metal</c:v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Sheet2!$AN$23:$AN$32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24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</c:numCache>
            </c:numRef>
          </c:xVal>
          <c:yVal>
            <c:numRef>
              <c:f>Sheet2!$AU$23:$AU$32</c:f>
              <c:numCache>
                <c:formatCode>General</c:formatCode>
                <c:ptCount val="10"/>
                <c:pt idx="0">
                  <c:v>2.0422878004259197</c:v>
                </c:pt>
                <c:pt idx="1">
                  <c:v>0.12321689318207346</c:v>
                </c:pt>
                <c:pt idx="2">
                  <c:v>5.6524035921817213E-2</c:v>
                </c:pt>
                <c:pt idx="3">
                  <c:v>6.6098081023454158E-2</c:v>
                </c:pt>
                <c:pt idx="4">
                  <c:v>7.4691026329930146E-2</c:v>
                </c:pt>
                <c:pt idx="5">
                  <c:v>7.6078768965888305E-2</c:v>
                </c:pt>
                <c:pt idx="6">
                  <c:v>8.7665869045029376E-2</c:v>
                </c:pt>
                <c:pt idx="7">
                  <c:v>4.9868766404199474E-2</c:v>
                </c:pt>
                <c:pt idx="8">
                  <c:v>6.712197204140434E-2</c:v>
                </c:pt>
                <c:pt idx="9">
                  <c:v>6.3151180097809914E-2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323776"/>
        <c:axId val="373324952"/>
      </c:scatterChart>
      <c:valAx>
        <c:axId val="373322208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Sputter</a:t>
                </a:r>
                <a:r>
                  <a:rPr lang="en-US" baseline="0"/>
                  <a:t> time [s]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74300087489063"/>
              <c:y val="0.88851778944298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24560"/>
        <c:crosses val="autoZero"/>
        <c:crossBetween val="midCat"/>
      </c:valAx>
      <c:valAx>
        <c:axId val="373324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22208"/>
        <c:crosses val="autoZero"/>
        <c:crossBetween val="midCat"/>
      </c:valAx>
      <c:valAx>
        <c:axId val="373324952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bg1">
                      <a:lumMod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23776"/>
        <c:crosses val="max"/>
        <c:crossBetween val="midCat"/>
      </c:valAx>
      <c:valAx>
        <c:axId val="37332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324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404899387576557"/>
          <c:y val="0.29224482356372122"/>
          <c:w val="0.23467979002624673"/>
          <c:h val="0.34201443569553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93738</xdr:colOff>
      <xdr:row>0</xdr:row>
      <xdr:rowOff>45357</xdr:rowOff>
    </xdr:from>
    <xdr:to>
      <xdr:col>10</xdr:col>
      <xdr:colOff>75595</xdr:colOff>
      <xdr:row>10</xdr:row>
      <xdr:rowOff>146654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193523</xdr:colOff>
      <xdr:row>0</xdr:row>
      <xdr:rowOff>79828</xdr:rowOff>
    </xdr:from>
    <xdr:to>
      <xdr:col>15</xdr:col>
      <xdr:colOff>241905</xdr:colOff>
      <xdr:row>9</xdr:row>
      <xdr:rowOff>30238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45811</xdr:colOff>
      <xdr:row>1</xdr:row>
      <xdr:rowOff>61685</xdr:rowOff>
    </xdr:from>
    <xdr:to>
      <xdr:col>23</xdr:col>
      <xdr:colOff>520700</xdr:colOff>
      <xdr:row>15</xdr:row>
      <xdr:rowOff>140153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56698</xdr:colOff>
      <xdr:row>16</xdr:row>
      <xdr:rowOff>90714</xdr:rowOff>
    </xdr:from>
    <xdr:to>
      <xdr:col>27</xdr:col>
      <xdr:colOff>11340</xdr:colOff>
      <xdr:row>35</xdr:row>
      <xdr:rowOff>158749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231322</xdr:colOff>
      <xdr:row>1</xdr:row>
      <xdr:rowOff>142193</xdr:rowOff>
    </xdr:from>
    <xdr:to>
      <xdr:col>9</xdr:col>
      <xdr:colOff>52161</xdr:colOff>
      <xdr:row>15</xdr:row>
      <xdr:rowOff>186643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231321</xdr:colOff>
      <xdr:row>1</xdr:row>
      <xdr:rowOff>34017</xdr:rowOff>
    </xdr:from>
    <xdr:to>
      <xdr:col>16</xdr:col>
      <xdr:colOff>0</xdr:colOff>
      <xdr:row>14</xdr:row>
      <xdr:rowOff>5215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407080</xdr:colOff>
      <xdr:row>34</xdr:row>
      <xdr:rowOff>91168</xdr:rowOff>
    </xdr:from>
    <xdr:to>
      <xdr:col>55</xdr:col>
      <xdr:colOff>80508</xdr:colOff>
      <xdr:row>48</xdr:row>
      <xdr:rowOff>135618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9"/>
  <sheetViews>
    <sheetView tabSelected="1" zoomScale="70" zoomScaleNormal="70" workbookViewId="0">
      <pane xSplit="3" ySplit="10" topLeftCell="AC14" activePane="bottomRight" state="frozen"/>
      <selection pane="topRight" activeCell="D1" sqref="D1"/>
      <selection pane="bottomLeft" activeCell="A6" sqref="A6"/>
      <selection pane="bottomRight" activeCell="BH11" sqref="BH11"/>
    </sheetView>
  </sheetViews>
  <sheetFormatPr defaultRowHeight="15" x14ac:dyDescent="0.25"/>
  <cols>
    <col min="1" max="1" width="18.42578125" customWidth="1"/>
    <col min="2" max="2" width="10.85546875" bestFit="1" customWidth="1"/>
    <col min="3" max="3" width="18.85546875" customWidth="1"/>
    <col min="5" max="6" width="10.42578125" customWidth="1"/>
    <col min="7" max="7" width="11.85546875" customWidth="1"/>
    <col min="8" max="8" width="11.42578125" customWidth="1"/>
    <col min="9" max="9" width="11" customWidth="1"/>
    <col min="10" max="10" width="9.85546875" customWidth="1"/>
    <col min="12" max="12" width="9.42578125" customWidth="1"/>
    <col min="13" max="14" width="11.28515625" customWidth="1"/>
    <col min="15" max="15" width="11.85546875" customWidth="1"/>
    <col min="16" max="16" width="10" customWidth="1"/>
    <col min="17" max="17" width="13.140625" customWidth="1"/>
    <col min="18" max="18" width="12.28515625" customWidth="1"/>
    <col min="19" max="19" width="11.85546875" customWidth="1"/>
    <col min="20" max="20" width="6.42578125" customWidth="1"/>
    <col min="21" max="21" width="9.85546875" customWidth="1"/>
    <col min="22" max="22" width="13" customWidth="1"/>
    <col min="23" max="29" width="7.7109375" customWidth="1"/>
    <col min="30" max="30" width="5.7109375" customWidth="1"/>
    <col min="31" max="31" width="5.5703125" customWidth="1"/>
    <col min="32" max="32" width="4" customWidth="1"/>
    <col min="33" max="33" width="13.5703125" customWidth="1"/>
    <col min="34" max="41" width="9.85546875" customWidth="1"/>
    <col min="42" max="42" width="8.28515625" customWidth="1"/>
    <col min="43" max="43" width="19.140625" customWidth="1"/>
    <col min="44" max="44" width="7.140625" customWidth="1"/>
    <col min="45" max="45" width="5.28515625" customWidth="1"/>
    <col min="46" max="46" width="8.28515625" customWidth="1"/>
    <col min="47" max="47" width="11.140625" customWidth="1"/>
    <col min="48" max="48" width="8.85546875" customWidth="1"/>
    <col min="49" max="49" width="12.42578125" customWidth="1"/>
    <col min="51" max="51" width="9.5703125" customWidth="1"/>
    <col min="52" max="52" width="13.7109375" customWidth="1"/>
    <col min="55" max="55" width="13.140625" bestFit="1" customWidth="1"/>
    <col min="57" max="57" width="9.28515625" customWidth="1"/>
    <col min="58" max="58" width="21" customWidth="1"/>
    <col min="59" max="59" width="30.7109375" style="22" bestFit="1" customWidth="1"/>
    <col min="60" max="60" width="12.140625" customWidth="1"/>
    <col min="61" max="61" width="11.140625" customWidth="1"/>
    <col min="62" max="62" width="10.28515625" customWidth="1"/>
    <col min="64" max="65" width="15.7109375" customWidth="1"/>
    <col min="66" max="66" width="21" customWidth="1"/>
    <col min="69" max="69" width="11.5703125" customWidth="1"/>
  </cols>
  <sheetData>
    <row r="1" spans="1:76" x14ac:dyDescent="0.25">
      <c r="A1" s="29" t="s">
        <v>109</v>
      </c>
      <c r="B1" s="35">
        <v>3.7</v>
      </c>
      <c r="Q1" t="s">
        <v>95</v>
      </c>
      <c r="R1" t="s">
        <v>132</v>
      </c>
      <c r="S1" t="s">
        <v>133</v>
      </c>
      <c r="U1" t="s">
        <v>134</v>
      </c>
      <c r="V1" t="s">
        <v>136</v>
      </c>
      <c r="AA1" t="s">
        <v>140</v>
      </c>
      <c r="AC1" t="s">
        <v>141</v>
      </c>
      <c r="AH1" s="19" t="s">
        <v>71</v>
      </c>
      <c r="AI1" s="19"/>
      <c r="AJ1" s="19"/>
      <c r="BI1" s="20">
        <v>1</v>
      </c>
      <c r="BJ1" s="20">
        <v>2</v>
      </c>
    </row>
    <row r="2" spans="1:76" ht="15.75" x14ac:dyDescent="0.25">
      <c r="A2" s="29" t="s">
        <v>69</v>
      </c>
      <c r="B2" s="35">
        <v>2</v>
      </c>
      <c r="Q2">
        <v>0.94</v>
      </c>
      <c r="R2">
        <v>0.25</v>
      </c>
      <c r="S2">
        <v>1</v>
      </c>
      <c r="U2">
        <v>0.15</v>
      </c>
      <c r="V2">
        <v>0.85</v>
      </c>
      <c r="AH2" s="16" t="s">
        <v>72</v>
      </c>
      <c r="AI2" s="16"/>
      <c r="AJ2" s="16"/>
      <c r="BF2" t="s">
        <v>73</v>
      </c>
      <c r="BG2" s="17" t="s">
        <v>61</v>
      </c>
      <c r="BI2" s="16">
        <f>DEGREES(ACOS(SQRT(1-POWER((SIN(RADIANS(BH8))*1/BI5),2))))</f>
        <v>54.999999999999993</v>
      </c>
      <c r="BJ2" s="16">
        <f>DEGREES(ACOS(SQRT(1-POWER((SIN(RADIANS(BI2))*BI5/BJ5),2))))</f>
        <v>54.999999999999986</v>
      </c>
      <c r="BL2" t="s">
        <v>87</v>
      </c>
      <c r="BM2" t="s">
        <v>88</v>
      </c>
      <c r="BQ2">
        <v>0.33300000000000002</v>
      </c>
    </row>
    <row r="3" spans="1:76" ht="15.75" x14ac:dyDescent="0.25">
      <c r="A3" s="29" t="s">
        <v>13</v>
      </c>
      <c r="B3" s="11">
        <f>2*B2^2</f>
        <v>8</v>
      </c>
      <c r="C3" s="33" t="s">
        <v>27</v>
      </c>
      <c r="BG3" s="18"/>
      <c r="BI3" s="16"/>
      <c r="BJ3" s="16"/>
      <c r="BL3" s="30">
        <f>1/BI4</f>
        <v>2.1978021978021975</v>
      </c>
      <c r="BM3" s="30">
        <f>1/BJ4</f>
        <v>2.8985507246376816</v>
      </c>
      <c r="BQ3">
        <v>90</v>
      </c>
      <c r="BR3">
        <f>BQ3/(100-BQ3)</f>
        <v>9</v>
      </c>
      <c r="BS3">
        <f>300*0.035</f>
        <v>10.500000000000002</v>
      </c>
    </row>
    <row r="4" spans="1:76" ht="17.25" x14ac:dyDescent="0.25">
      <c r="A4" s="29"/>
      <c r="B4" s="9">
        <f>(B1/1000)/(B3/100)</f>
        <v>4.6249999999999999E-2</v>
      </c>
      <c r="C4" t="s">
        <v>36</v>
      </c>
      <c r="Q4">
        <v>0.57999999999999996</v>
      </c>
      <c r="R4">
        <v>0.5</v>
      </c>
      <c r="S4">
        <v>1</v>
      </c>
      <c r="U4">
        <v>0.1</v>
      </c>
      <c r="V4">
        <v>1</v>
      </c>
      <c r="W4">
        <v>803</v>
      </c>
      <c r="AA4" t="s">
        <v>138</v>
      </c>
      <c r="AC4" t="s">
        <v>137</v>
      </c>
      <c r="BF4" t="s">
        <v>150</v>
      </c>
      <c r="BG4" s="17" t="s">
        <v>62</v>
      </c>
      <c r="BI4" s="19">
        <v>0.45500000000000002</v>
      </c>
      <c r="BJ4" s="19">
        <v>0.34499999999999997</v>
      </c>
      <c r="BQ4">
        <f>100*(BR3-BQ2*BR3-BQ2)/((1-BQ2)*(1+BR3))</f>
        <v>85.007496251874059</v>
      </c>
      <c r="BR4">
        <f>BQ4/(100-BQ4)</f>
        <v>5.6699999999999982</v>
      </c>
    </row>
    <row r="5" spans="1:76" x14ac:dyDescent="0.25">
      <c r="A5" s="29" t="s">
        <v>19</v>
      </c>
      <c r="B5" s="19">
        <v>3</v>
      </c>
      <c r="Q5">
        <v>1.07</v>
      </c>
      <c r="R5">
        <v>0.3</v>
      </c>
      <c r="S5">
        <v>1</v>
      </c>
      <c r="U5">
        <v>0.2</v>
      </c>
      <c r="V5">
        <v>1.1000000000000001</v>
      </c>
      <c r="W5">
        <v>26.01</v>
      </c>
      <c r="X5">
        <v>21.06</v>
      </c>
      <c r="Y5">
        <v>1.91</v>
      </c>
      <c r="Z5">
        <v>33.42</v>
      </c>
      <c r="AA5" t="s">
        <v>144</v>
      </c>
      <c r="AC5" t="s">
        <v>139</v>
      </c>
      <c r="BF5" t="s">
        <v>148</v>
      </c>
      <c r="BG5" s="20" t="s">
        <v>63</v>
      </c>
      <c r="BI5" s="19">
        <v>1</v>
      </c>
      <c r="BJ5" s="19">
        <v>1</v>
      </c>
    </row>
    <row r="6" spans="1:76" x14ac:dyDescent="0.25">
      <c r="Q6">
        <v>1.1000000000000001</v>
      </c>
      <c r="R6">
        <v>0.3</v>
      </c>
      <c r="S6">
        <v>1</v>
      </c>
      <c r="U6">
        <v>0.15</v>
      </c>
      <c r="V6">
        <v>0.9</v>
      </c>
      <c r="W6">
        <v>24.95</v>
      </c>
      <c r="X6">
        <v>15.71</v>
      </c>
      <c r="Y6">
        <v>-7.31</v>
      </c>
      <c r="Z6">
        <v>28.56</v>
      </c>
      <c r="BF6" t="s">
        <v>149</v>
      </c>
      <c r="BG6" s="20" t="s">
        <v>64</v>
      </c>
      <c r="BI6" s="19">
        <v>0.33300000000000002</v>
      </c>
      <c r="BJ6" s="19">
        <v>1</v>
      </c>
      <c r="BQ6" s="31">
        <f>0.55/1200</f>
        <v>4.5833333333333338E-4</v>
      </c>
    </row>
    <row r="7" spans="1:76" x14ac:dyDescent="0.25">
      <c r="A7" s="19" t="s">
        <v>71</v>
      </c>
      <c r="B7" s="19"/>
      <c r="C7" s="19"/>
      <c r="Q7">
        <v>0.94</v>
      </c>
      <c r="R7">
        <v>0.25</v>
      </c>
      <c r="S7">
        <v>1</v>
      </c>
      <c r="U7">
        <v>0.15</v>
      </c>
      <c r="V7">
        <v>0.85</v>
      </c>
      <c r="W7">
        <v>24.85</v>
      </c>
      <c r="X7">
        <v>14.43</v>
      </c>
      <c r="Y7">
        <v>-11.36</v>
      </c>
      <c r="Z7">
        <v>26.39</v>
      </c>
      <c r="AA7" t="s">
        <v>144</v>
      </c>
      <c r="AC7" t="s">
        <v>147</v>
      </c>
      <c r="AE7">
        <v>656</v>
      </c>
      <c r="BG7" s="20" t="s">
        <v>65</v>
      </c>
      <c r="BI7" s="16">
        <f>BI6/COS(RADIANS(BI2-BH$9))</f>
        <v>0.58056778294182565</v>
      </c>
      <c r="BJ7" s="16">
        <f>BJ6*EXP(((BJ4/(COS(BH$9)*COS(RADIANS(BJ2-BH$9))))-(BI4/COS(RADIANS(BI2-BH$9))))*BH10)/(COS(RADIANS(BJ2-BH$9)))</f>
        <v>1.4391964302827496</v>
      </c>
    </row>
    <row r="8" spans="1:76" x14ac:dyDescent="0.25">
      <c r="A8" s="16" t="s">
        <v>72</v>
      </c>
      <c r="B8" s="16"/>
      <c r="C8" s="16"/>
      <c r="Q8">
        <v>1</v>
      </c>
      <c r="R8">
        <v>0.3</v>
      </c>
      <c r="S8">
        <v>1</v>
      </c>
      <c r="U8">
        <v>0.1</v>
      </c>
      <c r="V8">
        <v>1</v>
      </c>
      <c r="W8">
        <v>24.96</v>
      </c>
      <c r="X8">
        <v>15.77</v>
      </c>
      <c r="Y8">
        <v>-8.44</v>
      </c>
      <c r="Z8">
        <v>28.29</v>
      </c>
      <c r="AA8" t="s">
        <v>142</v>
      </c>
      <c r="AC8" t="s">
        <v>143</v>
      </c>
      <c r="AE8">
        <v>706</v>
      </c>
      <c r="AH8">
        <v>2.5999999999999999E-2</v>
      </c>
      <c r="AI8">
        <v>0.1</v>
      </c>
      <c r="AJ8">
        <v>0.27</v>
      </c>
      <c r="AK8">
        <v>0.48</v>
      </c>
      <c r="AL8">
        <v>0.64</v>
      </c>
      <c r="AQ8" s="53" t="s">
        <v>108</v>
      </c>
      <c r="AR8" s="53"/>
      <c r="BF8" t="s">
        <v>151</v>
      </c>
      <c r="BG8" s="20" t="s">
        <v>54</v>
      </c>
      <c r="BH8" s="21">
        <v>55</v>
      </c>
    </row>
    <row r="9" spans="1:76" s="29" customFormat="1" ht="30" x14ac:dyDescent="0.25">
      <c r="V9" s="51" t="s">
        <v>130</v>
      </c>
      <c r="W9" s="51"/>
      <c r="X9" s="51"/>
      <c r="Y9" s="51"/>
      <c r="Z9" s="51"/>
      <c r="AA9" s="51"/>
      <c r="AB9" s="51"/>
      <c r="AC9" s="51"/>
      <c r="AF9" s="43"/>
      <c r="AH9" s="52" t="s">
        <v>131</v>
      </c>
      <c r="AI9" s="52"/>
      <c r="AJ9" s="52"/>
      <c r="AK9" s="52"/>
      <c r="AL9" s="52"/>
      <c r="AM9" s="52"/>
      <c r="AN9" s="52"/>
      <c r="AO9" s="52"/>
      <c r="AQ9" s="45" t="s">
        <v>106</v>
      </c>
      <c r="AR9" s="44">
        <v>100</v>
      </c>
      <c r="AZ9" s="29" t="s">
        <v>47</v>
      </c>
      <c r="BG9" s="45" t="s">
        <v>60</v>
      </c>
      <c r="BH9" s="46">
        <v>0</v>
      </c>
    </row>
    <row r="10" spans="1:76" s="40" customFormat="1" ht="51" customHeight="1" x14ac:dyDescent="0.25">
      <c r="A10" s="40" t="s">
        <v>21</v>
      </c>
      <c r="B10" s="40" t="s">
        <v>15</v>
      </c>
      <c r="C10" s="40" t="s">
        <v>20</v>
      </c>
      <c r="L10" s="49" t="s">
        <v>115</v>
      </c>
      <c r="M10" s="49" t="s">
        <v>127</v>
      </c>
      <c r="N10" s="49" t="s">
        <v>128</v>
      </c>
      <c r="O10" s="49" t="s">
        <v>135</v>
      </c>
      <c r="P10" s="49" t="s">
        <v>126</v>
      </c>
      <c r="Q10" s="49" t="s">
        <v>123</v>
      </c>
      <c r="R10" s="49" t="s">
        <v>124</v>
      </c>
      <c r="S10" s="49" t="s">
        <v>125</v>
      </c>
      <c r="T10" s="40">
        <v>500</v>
      </c>
      <c r="V10" s="40">
        <v>200</v>
      </c>
      <c r="W10" s="40">
        <v>500</v>
      </c>
      <c r="X10" s="40">
        <v>1000</v>
      </c>
      <c r="Y10" s="40">
        <v>2000</v>
      </c>
      <c r="Z10" s="41">
        <f>SQRT(Y10*AB10)</f>
        <v>3162.2776601683795</v>
      </c>
      <c r="AA10" s="40">
        <f>(Y10+AB10)/2</f>
        <v>3500</v>
      </c>
      <c r="AB10" s="40">
        <v>5000</v>
      </c>
      <c r="AC10" s="40">
        <v>10000</v>
      </c>
      <c r="AG10" s="40" t="s">
        <v>146</v>
      </c>
      <c r="AH10" s="40">
        <v>200</v>
      </c>
      <c r="AI10" s="40">
        <v>500</v>
      </c>
      <c r="AJ10" s="40">
        <v>1000</v>
      </c>
      <c r="AK10" s="40">
        <v>2000</v>
      </c>
      <c r="AL10" s="41">
        <v>3000</v>
      </c>
      <c r="AM10" s="40">
        <f>(AK10+AN10)/2</f>
        <v>3500</v>
      </c>
      <c r="AN10" s="40">
        <v>5000</v>
      </c>
      <c r="AO10" s="40">
        <v>10000</v>
      </c>
      <c r="AQ10" s="40" t="s">
        <v>105</v>
      </c>
      <c r="AR10" s="42">
        <v>3000</v>
      </c>
      <c r="AT10" s="40" t="s">
        <v>22</v>
      </c>
      <c r="AU10" s="40" t="s">
        <v>145</v>
      </c>
      <c r="AV10" s="40" t="s">
        <v>23</v>
      </c>
      <c r="AZ10" s="40" t="s">
        <v>46</v>
      </c>
      <c r="BG10" s="40" t="s">
        <v>55</v>
      </c>
      <c r="BH10" s="42">
        <v>1</v>
      </c>
      <c r="BW10" s="40" t="s">
        <v>23</v>
      </c>
      <c r="BX10" s="40" t="s">
        <v>24</v>
      </c>
    </row>
    <row r="11" spans="1:76" s="3" customFormat="1" ht="15.75" x14ac:dyDescent="0.25">
      <c r="V11" t="s">
        <v>25</v>
      </c>
      <c r="Z11" s="4"/>
      <c r="BG11" s="17" t="s">
        <v>66</v>
      </c>
    </row>
    <row r="12" spans="1:76" s="25" customFormat="1" ht="64.5" customHeight="1" x14ac:dyDescent="0.25">
      <c r="C12" s="24" t="s">
        <v>14</v>
      </c>
      <c r="D12" s="25" t="s">
        <v>97</v>
      </c>
      <c r="E12" s="25" t="s">
        <v>98</v>
      </c>
      <c r="F12" s="25" t="s">
        <v>121</v>
      </c>
      <c r="G12" s="25" t="s">
        <v>122</v>
      </c>
      <c r="H12" s="25" t="s">
        <v>48</v>
      </c>
      <c r="I12" s="25" t="s">
        <v>49</v>
      </c>
      <c r="J12" s="25" t="s">
        <v>70</v>
      </c>
      <c r="V12" s="26" t="s">
        <v>26</v>
      </c>
      <c r="Z12" s="27"/>
      <c r="AY12" s="25" t="s">
        <v>50</v>
      </c>
      <c r="AZ12" s="28">
        <v>1400</v>
      </c>
      <c r="BG12" s="24"/>
      <c r="BI12" s="25">
        <v>1</v>
      </c>
      <c r="BJ12" s="25">
        <v>2</v>
      </c>
      <c r="BN12" s="25" t="s">
        <v>107</v>
      </c>
      <c r="BQ12" s="25">
        <v>0.02</v>
      </c>
      <c r="BR12" s="25">
        <v>3.5000000000000003E-2</v>
      </c>
    </row>
    <row r="13" spans="1:76" s="3" customFormat="1" ht="15.75" x14ac:dyDescent="0.25">
      <c r="Z13" s="4"/>
      <c r="BG13" s="17"/>
      <c r="BL13" s="3">
        <v>2.2999999999999998</v>
      </c>
    </row>
    <row r="14" spans="1:76" x14ac:dyDescent="0.25">
      <c r="A14" t="s">
        <v>0</v>
      </c>
      <c r="B14">
        <v>107.8</v>
      </c>
      <c r="C14">
        <v>10.5</v>
      </c>
      <c r="D14">
        <f t="shared" ref="D14:D36" si="0">B14/C14</f>
        <v>10.266666666666666</v>
      </c>
      <c r="E14">
        <f>6.022E+23/D14</f>
        <v>5.8655844155844163E+22</v>
      </c>
      <c r="F14">
        <f>POWER(E14,2/3)</f>
        <v>1509642775259729.7</v>
      </c>
      <c r="G14">
        <f>1E+21/E14</f>
        <v>1.7048599579320266E-2</v>
      </c>
      <c r="H14">
        <v>0.17499999999999999</v>
      </c>
      <c r="I14" s="30">
        <f>4*PI()*H14^3/3</f>
        <v>2.2449297503777058E-2</v>
      </c>
      <c r="J14" s="30">
        <f>POWER(3*G14/(4*PI()), (1/3))</f>
        <v>0.1596614370133142</v>
      </c>
      <c r="K14" s="30">
        <f>I14/G14</f>
        <v>1.3167824957897287</v>
      </c>
      <c r="L14">
        <v>1235</v>
      </c>
      <c r="M14">
        <v>11.3</v>
      </c>
      <c r="N14">
        <v>285</v>
      </c>
      <c r="O14">
        <v>125.6</v>
      </c>
      <c r="P14">
        <v>1.92</v>
      </c>
      <c r="T14" s="5">
        <v>2.8</v>
      </c>
      <c r="U14">
        <f>N14/M14</f>
        <v>25.221238938053094</v>
      </c>
      <c r="V14" s="5">
        <v>1.2</v>
      </c>
      <c r="W14" s="5">
        <v>2.4</v>
      </c>
      <c r="X14" s="5">
        <v>3.5</v>
      </c>
      <c r="Y14" s="5">
        <v>5</v>
      </c>
      <c r="Z14" s="6">
        <v>6</v>
      </c>
      <c r="AA14" s="5">
        <f>(Y14+AB14)/2</f>
        <v>6.5</v>
      </c>
      <c r="AB14" s="5">
        <v>8</v>
      </c>
      <c r="AC14" s="5">
        <v>10</v>
      </c>
      <c r="AD14">
        <f>L14/100</f>
        <v>12.35</v>
      </c>
      <c r="AF14" s="2">
        <f>$B14*$T14*((B$1/1000000)/(B$3/100))*10000000/($C14*6.022E+23*1.6022E-19)</f>
        <v>0.13779763110235765</v>
      </c>
      <c r="AG14" s="2">
        <f>0.01*(B$1)*T14*B14/(C14*B$3)</f>
        <v>0.13295333333333334</v>
      </c>
      <c r="AH14" s="13">
        <f>$B$5*$B14*V14*(($B$1/1000000)/($B$3/100))*10000000/($C14*6.022E+23*1.6022E-19)</f>
        <v>0.17716838284588843</v>
      </c>
      <c r="AI14" s="13">
        <f t="shared" ref="AI14:AL29" si="1">$B$5*$B14*W14*(($B$1/1000000)/($B$3/100))*10000000/($C14*6.022E+23*1.6022E-19)</f>
        <v>0.35433676569177686</v>
      </c>
      <c r="AJ14" s="13">
        <f t="shared" si="1"/>
        <v>0.51674111663384126</v>
      </c>
      <c r="AK14" s="13">
        <f t="shared" si="1"/>
        <v>0.73820159519120188</v>
      </c>
      <c r="AL14" s="13">
        <f t="shared" si="1"/>
        <v>0.88584191422944214</v>
      </c>
      <c r="AM14" s="8">
        <f t="shared" ref="AM14:AM36" si="2">$B$5*$B14*AA14*(($B$1/1000000)/($B$3/100))*10000000/($C14*6.022E+23*1.6022E-19)</f>
        <v>0.95966207374856238</v>
      </c>
      <c r="AN14" s="8">
        <f t="shared" ref="AN14:AN36" si="3">$B$5*$B14*AB14*(($B$1/1000000)/($B$3/100))*10000000/($C14*6.022E+23*1.6022E-19)</f>
        <v>1.1811225523059228</v>
      </c>
      <c r="AO14" s="8">
        <f t="shared" ref="AO14:AO36" si="4">$B$5*$B14*AC14*(($B$1/1000000)/($B$3/100))*10000000/($C14*6.022E+23*1.6022E-19)</f>
        <v>1.4764031903824038</v>
      </c>
      <c r="AR14" s="16">
        <f t="shared" ref="AR14:AR36" si="5">AR$9/LOOKUP(AR$10,BeamEnergy,AH14:AL14)</f>
        <v>112.88695916695919</v>
      </c>
      <c r="AT14">
        <v>200</v>
      </c>
      <c r="AU14" t="s">
        <v>16</v>
      </c>
      <c r="AV14" s="16">
        <v>0.5</v>
      </c>
      <c r="AZ14">
        <f t="shared" ref="AZ14:AZ22" si="6">538*J14/AZ$12^2 + 0.41*J14*SQRT(J14*AZ$12)</f>
        <v>0.97874007755928916</v>
      </c>
      <c r="BG14" s="23">
        <f>(BI$7*BJ14/BJ$7*BI14)*(EXP(BJ14*BH$10/COS(RADIANS(BH$9)))-EXP((BJ14-BI14)*BH$10/COS(RADIANS(BH$9))))</f>
        <v>5.0436190463859472</v>
      </c>
      <c r="BH14" s="30">
        <f>100-100/(BG14+1)</f>
        <v>83.453622865293028</v>
      </c>
      <c r="BI14" s="16">
        <f>((BI$4/COS(RADIANS(BI$2-BH$9)))+(1/AZ14))</f>
        <v>1.8149900166290407</v>
      </c>
      <c r="BJ14" s="16">
        <f>((BJ$4/COS(RADIANS(BJ$2-BH$9)))+ (1/AZ14))</f>
        <v>1.6232108691107197</v>
      </c>
      <c r="BL14">
        <f>EXP(BL13/COS(RADIANS(BH8)))</f>
        <v>55.142879724909875</v>
      </c>
      <c r="BN14">
        <v>1.5</v>
      </c>
      <c r="BO14">
        <f>1/BN14</f>
        <v>0.66666666666666663</v>
      </c>
      <c r="BP14">
        <v>300</v>
      </c>
      <c r="BQ14">
        <f>$BP14*BQ$12</f>
        <v>6</v>
      </c>
      <c r="BR14">
        <f>$BP14*BR$12</f>
        <v>10.500000000000002</v>
      </c>
      <c r="BS14">
        <f>BQ14+1.9</f>
        <v>7.9</v>
      </c>
      <c r="BT14">
        <f>BR14+1.9</f>
        <v>12.400000000000002</v>
      </c>
      <c r="BW14">
        <v>1.05</v>
      </c>
      <c r="BX14">
        <f>BW14*2.2</f>
        <v>2.3100000000000005</v>
      </c>
    </row>
    <row r="15" spans="1:76" x14ac:dyDescent="0.25">
      <c r="A15" t="s">
        <v>2</v>
      </c>
      <c r="B15">
        <v>26.98</v>
      </c>
      <c r="C15">
        <v>2.7</v>
      </c>
      <c r="D15">
        <f t="shared" si="0"/>
        <v>9.992592592592592</v>
      </c>
      <c r="E15">
        <f t="shared" ref="E15:E36" si="7">6.022E+23/D15</f>
        <v>6.0264640474425504E+22</v>
      </c>
      <c r="F15">
        <f t="shared" ref="F15:F36" si="8">POWER(E15,2/3)</f>
        <v>1537122147120703.2</v>
      </c>
      <c r="G15">
        <f t="shared" ref="G15:G36" si="9">1E+21/E15</f>
        <v>1.659347823412918E-2</v>
      </c>
      <c r="H15">
        <v>0.182</v>
      </c>
      <c r="I15" s="30">
        <f>4*PI()*H15^3/3</f>
        <v>2.5252406587288681E-2</v>
      </c>
      <c r="J15" s="30">
        <f t="shared" ref="J15:J36" si="10">POWER(3*G15/(4*PI()), (1/3))</f>
        <v>0.15822785484687832</v>
      </c>
      <c r="K15" s="30">
        <f t="shared" ref="K15:K36" si="11">I15/G15</f>
        <v>1.5218272040969667</v>
      </c>
      <c r="L15">
        <v>930</v>
      </c>
      <c r="M15">
        <v>10.7</v>
      </c>
      <c r="N15">
        <v>326</v>
      </c>
      <c r="O15">
        <v>42.5</v>
      </c>
      <c r="P15">
        <v>1.61</v>
      </c>
      <c r="T15" s="5">
        <v>1</v>
      </c>
      <c r="U15">
        <f t="shared" ref="U15:U36" si="12">N15/M15</f>
        <v>30.467289719626169</v>
      </c>
      <c r="V15" s="5">
        <v>0.33</v>
      </c>
      <c r="W15" s="5">
        <v>0.95</v>
      </c>
      <c r="X15" s="5">
        <v>1.4</v>
      </c>
      <c r="Y15" s="5">
        <v>2</v>
      </c>
      <c r="Z15" s="6">
        <v>2.2999999999999998</v>
      </c>
      <c r="AA15" s="5">
        <f>(Y15+AB15)/2</f>
        <v>2.5499999999999998</v>
      </c>
      <c r="AB15" s="5">
        <v>3.1</v>
      </c>
      <c r="AC15" s="5">
        <v>3.7</v>
      </c>
      <c r="AD15">
        <f t="shared" ref="AD15:AD36" si="13">L15/100</f>
        <v>9.3000000000000007</v>
      </c>
      <c r="AF15" s="2">
        <f t="shared" ref="AF15:AF36" si="14">$B15*$T15*((B$1/1000000)/(B$3/100))*10000000/($C15*6.022E+23*1.6022E-19)</f>
        <v>4.7899660986672983E-2</v>
      </c>
      <c r="AG15" s="2">
        <f t="shared" ref="AG15:AG36" si="15">0.01*(B$1)*T15*B15/(C15*B$3)</f>
        <v>4.6215740740740745E-2</v>
      </c>
      <c r="AH15" s="13">
        <f t="shared" ref="AH15:AH36" si="16">$B$5*$B15*V15*(($B$1/1000000)/($B$3/100))*10000000/($C15*6.022E+23*1.6022E-19)</f>
        <v>4.7420664376806254E-2</v>
      </c>
      <c r="AI15" s="13">
        <f t="shared" si="1"/>
        <v>0.13651403381201799</v>
      </c>
      <c r="AJ15" s="13">
        <f t="shared" si="1"/>
        <v>0.20117857614402648</v>
      </c>
      <c r="AK15" s="13">
        <f t="shared" si="1"/>
        <v>0.28739796592003786</v>
      </c>
      <c r="AL15" s="13">
        <f t="shared" si="1"/>
        <v>0.3305076608080435</v>
      </c>
      <c r="AM15" s="8">
        <f t="shared" si="2"/>
        <v>0.36643240654804826</v>
      </c>
      <c r="AN15" s="8">
        <f t="shared" si="3"/>
        <v>0.44546684717605867</v>
      </c>
      <c r="AO15" s="8">
        <f t="shared" si="4"/>
        <v>0.53168623695207018</v>
      </c>
      <c r="AR15" s="16">
        <f t="shared" si="5"/>
        <v>302.56484753035511</v>
      </c>
      <c r="AT15">
        <v>200</v>
      </c>
      <c r="AU15" t="s">
        <v>17</v>
      </c>
      <c r="AV15" s="16">
        <v>0.5</v>
      </c>
      <c r="AZ15">
        <f t="shared" si="6"/>
        <v>0.96558791097451946</v>
      </c>
      <c r="BG15" s="23">
        <f>(BI$7*BJ15/BJ$7*BI15)*(EXP(BJ15*BH$10/COS(RADIANS(BH$9)))-EXP((BJ15-BI15)*BH$10/COS(RADIANS(BH$9))))</f>
        <v>5.2116723015784743</v>
      </c>
      <c r="BH15" s="30">
        <f>100-100/(BG15+1)</f>
        <v>83.901275671836615</v>
      </c>
      <c r="BI15" s="16">
        <f>((BI$4/COS(RADIANS(BI$2-BH$9)))+(1/AZ15))</f>
        <v>1.8289067757068727</v>
      </c>
      <c r="BJ15" s="16">
        <f>((BJ$4/COS(RADIANS(BJ$2-BH$9)))+ (1/AZ15))</f>
        <v>1.6371276281885518</v>
      </c>
      <c r="BN15">
        <v>1.9</v>
      </c>
      <c r="BO15">
        <f>1/BN15</f>
        <v>0.52631578947368418</v>
      </c>
      <c r="BP15">
        <v>2200</v>
      </c>
      <c r="BQ15">
        <f>$BP15*BQ$12</f>
        <v>44</v>
      </c>
      <c r="BR15">
        <f>$BP15*BR$12</f>
        <v>77.000000000000014</v>
      </c>
      <c r="BS15">
        <f>BQ15+0.9</f>
        <v>44.9</v>
      </c>
      <c r="BT15">
        <f>BR15+0.9</f>
        <v>77.90000000000002</v>
      </c>
      <c r="BW15">
        <v>1.04</v>
      </c>
      <c r="BX15">
        <f>BW15*2.2</f>
        <v>2.2880000000000003</v>
      </c>
    </row>
    <row r="16" spans="1:76" x14ac:dyDescent="0.25">
      <c r="A16" t="s">
        <v>5</v>
      </c>
      <c r="B16">
        <v>102</v>
      </c>
      <c r="C16">
        <v>3.97</v>
      </c>
      <c r="D16">
        <f t="shared" si="0"/>
        <v>25.692695214105793</v>
      </c>
      <c r="E16">
        <f t="shared" si="7"/>
        <v>2.3438568627450981E+22</v>
      </c>
      <c r="F16">
        <f t="shared" si="8"/>
        <v>819006579689516</v>
      </c>
      <c r="G16">
        <f t="shared" si="9"/>
        <v>4.2664721378455318E-2</v>
      </c>
      <c r="I16" s="30">
        <f t="shared" ref="I16:I36" si="17">4*PI()*H16^3/3</f>
        <v>0</v>
      </c>
      <c r="J16" s="30">
        <f t="shared" si="10"/>
        <v>0.21676713362316133</v>
      </c>
      <c r="K16" s="30">
        <f t="shared" si="11"/>
        <v>0</v>
      </c>
      <c r="L16">
        <v>2325</v>
      </c>
      <c r="M16" s="50">
        <v>135</v>
      </c>
      <c r="N16" s="50"/>
      <c r="O16" s="50">
        <f>3.71*6.02E+23/(1000*6250000000000000000)</f>
        <v>357.34720000000004</v>
      </c>
      <c r="P16" s="50">
        <f>(2*1.61+3*3.44)/5</f>
        <v>2.7080000000000002</v>
      </c>
      <c r="Q16">
        <v>0.25</v>
      </c>
      <c r="R16">
        <v>13.7</v>
      </c>
      <c r="S16">
        <v>9</v>
      </c>
      <c r="T16" s="5">
        <v>0.1</v>
      </c>
      <c r="U16">
        <f t="shared" si="12"/>
        <v>0</v>
      </c>
      <c r="V16" s="7">
        <f t="shared" ref="V16:AC18" si="18">(V$31/$T$31)*$T16</f>
        <v>3.5999999999999997E-2</v>
      </c>
      <c r="W16" s="7">
        <f t="shared" si="18"/>
        <v>8.4000000000000005E-2</v>
      </c>
      <c r="X16" s="7">
        <f t="shared" si="18"/>
        <v>0.13999999999999999</v>
      </c>
      <c r="Y16" s="7">
        <f t="shared" si="18"/>
        <v>0.2</v>
      </c>
      <c r="Z16" s="7">
        <f t="shared" si="18"/>
        <v>0.24</v>
      </c>
      <c r="AA16" s="7">
        <f t="shared" si="18"/>
        <v>0.24</v>
      </c>
      <c r="AB16" s="7">
        <f t="shared" si="18"/>
        <v>0.27999999999999997</v>
      </c>
      <c r="AC16" s="7">
        <f t="shared" si="18"/>
        <v>0.30000000000000004</v>
      </c>
      <c r="AD16">
        <f t="shared" si="13"/>
        <v>23.25</v>
      </c>
      <c r="AF16" s="2">
        <f t="shared" si="14"/>
        <v>1.2315836747931335E-2</v>
      </c>
      <c r="AG16" s="2">
        <f t="shared" si="15"/>
        <v>1.1882871536523931E-2</v>
      </c>
      <c r="AH16" s="13">
        <f t="shared" si="16"/>
        <v>1.3301103687765841E-2</v>
      </c>
      <c r="AI16" s="13">
        <f t="shared" si="1"/>
        <v>3.1035908604786961E-2</v>
      </c>
      <c r="AJ16" s="13">
        <f t="shared" si="1"/>
        <v>5.1726514341311591E-2</v>
      </c>
      <c r="AK16" s="13">
        <f t="shared" si="1"/>
        <v>7.3895020487588003E-2</v>
      </c>
      <c r="AL16" s="13">
        <f t="shared" si="1"/>
        <v>8.8674024585105607E-2</v>
      </c>
      <c r="AM16" s="8">
        <f t="shared" si="2"/>
        <v>8.8674024585105607E-2</v>
      </c>
      <c r="AN16" s="8">
        <f t="shared" si="3"/>
        <v>0.10345302868262318</v>
      </c>
      <c r="AO16" s="8">
        <f t="shared" si="4"/>
        <v>0.11084253073138202</v>
      </c>
      <c r="AR16" s="16">
        <f t="shared" si="5"/>
        <v>1127.7259656126716</v>
      </c>
      <c r="AT16">
        <v>200</v>
      </c>
      <c r="AU16" t="s">
        <v>18</v>
      </c>
      <c r="AV16" s="16">
        <v>1</v>
      </c>
      <c r="AZ16">
        <f t="shared" si="6"/>
        <v>1.5482985849326554</v>
      </c>
      <c r="BC16">
        <v>1</v>
      </c>
      <c r="BD16">
        <v>1.05</v>
      </c>
      <c r="BE16">
        <v>1.1499999999999999</v>
      </c>
      <c r="BG16" s="23">
        <f>(BI$7*BJ16/BJ$7*BI16)*(EXP(BJ16*BH$10/COS(RADIANS(BH$9)))-EXP((BJ16-BI16)*BH$10/COS(RADIANS(BH$9))))</f>
        <v>1.9230819812154334</v>
      </c>
      <c r="BI16" s="16">
        <f>((BI$4/COS(RADIANS(BI$2-BH$9)))+(1/AZ16))</f>
        <v>1.4391385458020225</v>
      </c>
      <c r="BJ16" s="16">
        <f>((BJ$4/COS(RADIANS(BJ$2-BH$9)))+ (1/AZ16))</f>
        <v>1.2473593982837015</v>
      </c>
      <c r="BN16">
        <v>1.4</v>
      </c>
      <c r="BO16">
        <f>1/BN16</f>
        <v>0.7142857142857143</v>
      </c>
      <c r="BW16">
        <v>1.18</v>
      </c>
      <c r="BX16">
        <f>BW16*2.2</f>
        <v>2.5960000000000001</v>
      </c>
    </row>
    <row r="17" spans="1:76" x14ac:dyDescent="0.25">
      <c r="A17" t="s">
        <v>1</v>
      </c>
      <c r="B17">
        <v>196.96</v>
      </c>
      <c r="C17">
        <v>19.3</v>
      </c>
      <c r="D17">
        <f t="shared" si="0"/>
        <v>10.205181347150258</v>
      </c>
      <c r="E17">
        <f t="shared" si="7"/>
        <v>5.9009240454914707E+22</v>
      </c>
      <c r="F17">
        <f t="shared" si="8"/>
        <v>1515700345931322.2</v>
      </c>
      <c r="G17">
        <f t="shared" si="9"/>
        <v>1.6946498417718794E-2</v>
      </c>
      <c r="H17">
        <v>0.17899999999999999</v>
      </c>
      <c r="I17" s="30">
        <f t="shared" si="17"/>
        <v>2.4024131824329373E-2</v>
      </c>
      <c r="J17" s="30">
        <f t="shared" si="10"/>
        <v>0.15934207022598285</v>
      </c>
      <c r="K17" s="30">
        <f t="shared" si="11"/>
        <v>1.4176457715424207</v>
      </c>
      <c r="L17">
        <v>1337</v>
      </c>
      <c r="M17">
        <v>12.5</v>
      </c>
      <c r="N17">
        <v>368</v>
      </c>
      <c r="O17">
        <v>222.8</v>
      </c>
      <c r="P17">
        <v>2.54</v>
      </c>
      <c r="T17" s="5">
        <v>1.7</v>
      </c>
      <c r="U17">
        <f t="shared" si="12"/>
        <v>29.44</v>
      </c>
      <c r="V17" s="5">
        <v>0.8</v>
      </c>
      <c r="W17" s="5">
        <v>1.5</v>
      </c>
      <c r="X17" s="5">
        <v>2.4</v>
      </c>
      <c r="Y17" s="5">
        <v>3.5</v>
      </c>
      <c r="Z17" s="6">
        <v>4.2</v>
      </c>
      <c r="AA17" s="5">
        <f>(Y17+AB17)/2</f>
        <v>5.5</v>
      </c>
      <c r="AB17" s="5">
        <v>7.5</v>
      </c>
      <c r="AC17" s="5">
        <v>8.5</v>
      </c>
      <c r="AD17">
        <f t="shared" si="13"/>
        <v>13.37</v>
      </c>
      <c r="AF17" s="2">
        <f t="shared" si="14"/>
        <v>8.3161804899085007E-2</v>
      </c>
      <c r="AG17" s="2">
        <f t="shared" si="15"/>
        <v>8.0238238341968929E-2</v>
      </c>
      <c r="AH17" s="13">
        <f t="shared" si="16"/>
        <v>0.11740490103400238</v>
      </c>
      <c r="AI17" s="13">
        <f t="shared" si="1"/>
        <v>0.22013418943875443</v>
      </c>
      <c r="AJ17" s="13">
        <f t="shared" si="1"/>
        <v>0.35221470310200709</v>
      </c>
      <c r="AK17" s="13">
        <f t="shared" si="1"/>
        <v>0.51364644202376031</v>
      </c>
      <c r="AL17" s="13">
        <f t="shared" si="1"/>
        <v>0.61637573042851246</v>
      </c>
      <c r="AM17" s="8">
        <f t="shared" si="2"/>
        <v>0.80715869460876633</v>
      </c>
      <c r="AN17" s="8">
        <f t="shared" si="3"/>
        <v>1.1006709471937723</v>
      </c>
      <c r="AO17" s="8">
        <f t="shared" si="4"/>
        <v>1.2474270734862751</v>
      </c>
      <c r="AR17" s="16">
        <f t="shared" si="5"/>
        <v>162.23870451628375</v>
      </c>
      <c r="AT17">
        <v>500</v>
      </c>
      <c r="AU17" t="s">
        <v>16</v>
      </c>
      <c r="AV17" s="16">
        <v>1</v>
      </c>
      <c r="AZ17">
        <f t="shared" si="6"/>
        <v>0.97580496630694946</v>
      </c>
      <c r="BG17" s="23">
        <f>(BI$7*BJ17/BJ$7*BI17)*(EXP(BJ17*BH$10/COS(RADIANS(BH$9)))-EXP((BJ17-BI17)*BH$10/COS(RADIANS(BH$9))))</f>
        <v>5.0803345982469796</v>
      </c>
      <c r="BI17" s="16">
        <f>((BI$4/COS(RADIANS(BI$2-BH$9)))+(1/AZ17))</f>
        <v>1.8180632403102501</v>
      </c>
      <c r="BJ17" s="16">
        <f>((BJ$4/COS(RADIANS(BJ$2-BH$9)))+ (1/AZ17))</f>
        <v>1.6262840927919293</v>
      </c>
      <c r="BN17">
        <v>1.7</v>
      </c>
      <c r="BO17">
        <f>1/BN17</f>
        <v>0.58823529411764708</v>
      </c>
      <c r="BW17">
        <v>1.1499999999999999</v>
      </c>
      <c r="BX17">
        <f>BW17*2.2</f>
        <v>2.5299999999999998</v>
      </c>
    </row>
    <row r="18" spans="1:76" x14ac:dyDescent="0.25">
      <c r="A18" t="s">
        <v>65</v>
      </c>
      <c r="B18">
        <v>12</v>
      </c>
      <c r="C18">
        <v>2.2999999999999998</v>
      </c>
      <c r="D18">
        <f t="shared" si="0"/>
        <v>5.2173913043478262</v>
      </c>
      <c r="E18">
        <f t="shared" si="7"/>
        <v>1.1542166666666667E+23</v>
      </c>
      <c r="F18">
        <f t="shared" si="8"/>
        <v>2370599712697161.5</v>
      </c>
      <c r="G18">
        <f t="shared" si="9"/>
        <v>8.663884597057166E-3</v>
      </c>
      <c r="H18">
        <v>0.1</v>
      </c>
      <c r="I18" s="30">
        <f t="shared" si="17"/>
        <v>4.1887902047863914E-3</v>
      </c>
      <c r="J18" s="30">
        <f t="shared" si="10"/>
        <v>0.12741132041912953</v>
      </c>
      <c r="K18" s="30">
        <f>I18/G18</f>
        <v>0.48347714675345332</v>
      </c>
      <c r="L18">
        <v>3800</v>
      </c>
      <c r="M18">
        <v>117</v>
      </c>
      <c r="N18">
        <v>717</v>
      </c>
      <c r="O18">
        <v>153.9</v>
      </c>
      <c r="P18">
        <v>2.5499999999999998</v>
      </c>
      <c r="T18" s="5">
        <v>0.15</v>
      </c>
      <c r="U18">
        <f t="shared" si="12"/>
        <v>6.1282051282051286</v>
      </c>
      <c r="V18" s="7">
        <f t="shared" si="18"/>
        <v>5.3999999999999999E-2</v>
      </c>
      <c r="W18" s="7">
        <f t="shared" si="18"/>
        <v>0.126</v>
      </c>
      <c r="X18" s="7">
        <f t="shared" si="18"/>
        <v>0.21</v>
      </c>
      <c r="Y18" s="7">
        <f t="shared" si="18"/>
        <v>0.3</v>
      </c>
      <c r="Z18" s="7">
        <f t="shared" si="18"/>
        <v>0.36</v>
      </c>
      <c r="AA18" s="7">
        <f t="shared" si="18"/>
        <v>0.36</v>
      </c>
      <c r="AB18" s="7">
        <f t="shared" si="18"/>
        <v>0.42</v>
      </c>
      <c r="AC18" s="7">
        <f t="shared" si="18"/>
        <v>0.44999999999999996</v>
      </c>
      <c r="AD18">
        <f t="shared" si="13"/>
        <v>38</v>
      </c>
      <c r="AF18" s="2">
        <f t="shared" si="14"/>
        <v>3.7514479710450679E-3</v>
      </c>
      <c r="AG18" s="2">
        <f t="shared" si="15"/>
        <v>3.619565217391305E-3</v>
      </c>
      <c r="AH18" s="13">
        <f t="shared" si="16"/>
        <v>4.0515638087286745E-3</v>
      </c>
      <c r="AI18" s="13">
        <f t="shared" si="1"/>
        <v>9.4536488870335719E-3</v>
      </c>
      <c r="AJ18" s="13">
        <f t="shared" si="1"/>
        <v>1.5756081478389285E-2</v>
      </c>
      <c r="AK18" s="13">
        <f t="shared" si="1"/>
        <v>2.2508687826270406E-2</v>
      </c>
      <c r="AL18" s="13">
        <f t="shared" si="1"/>
        <v>2.7010425391524491E-2</v>
      </c>
      <c r="AM18" s="8">
        <f t="shared" si="2"/>
        <v>2.7010425391524491E-2</v>
      </c>
      <c r="AN18" s="8">
        <f t="shared" si="3"/>
        <v>3.1512162956778569E-2</v>
      </c>
      <c r="AO18" s="8">
        <f t="shared" si="4"/>
        <v>3.3763031739405612E-2</v>
      </c>
      <c r="AR18" s="16">
        <f t="shared" si="5"/>
        <v>3702.2741608274951</v>
      </c>
      <c r="AT18">
        <v>500</v>
      </c>
      <c r="AU18" t="s">
        <v>17</v>
      </c>
      <c r="AV18" s="16">
        <v>1.3</v>
      </c>
      <c r="AZ18">
        <f t="shared" si="6"/>
        <v>0.6977207979456993</v>
      </c>
      <c r="BG18" s="23"/>
      <c r="BI18" s="16"/>
      <c r="BJ18" s="16"/>
      <c r="BW18">
        <v>1.5</v>
      </c>
    </row>
    <row r="19" spans="1:76" x14ac:dyDescent="0.25">
      <c r="A19" t="s">
        <v>44</v>
      </c>
      <c r="B19">
        <v>58.93</v>
      </c>
      <c r="C19">
        <v>8.9</v>
      </c>
      <c r="D19">
        <f t="shared" si="0"/>
        <v>6.6213483146067409</v>
      </c>
      <c r="E19">
        <f t="shared" si="7"/>
        <v>9.0948243678941132E+22</v>
      </c>
      <c r="F19">
        <f t="shared" si="8"/>
        <v>2022380540546304.3</v>
      </c>
      <c r="G19">
        <f t="shared" si="9"/>
        <v>1.099526455431209E-2</v>
      </c>
      <c r="H19">
        <v>0.16700000000000001</v>
      </c>
      <c r="I19" s="30">
        <f t="shared" si="17"/>
        <v>1.950913539355504E-2</v>
      </c>
      <c r="J19" s="30">
        <f t="shared" si="10"/>
        <v>0.13794491354249114</v>
      </c>
      <c r="K19" s="30">
        <f t="shared" si="11"/>
        <v>1.7743215997384987</v>
      </c>
      <c r="L19">
        <v>1768</v>
      </c>
      <c r="M19">
        <v>16.2</v>
      </c>
      <c r="N19">
        <v>426</v>
      </c>
      <c r="O19">
        <v>63.7</v>
      </c>
      <c r="P19">
        <v>1.88</v>
      </c>
      <c r="T19" s="5"/>
      <c r="U19">
        <f t="shared" si="12"/>
        <v>26.296296296296298</v>
      </c>
      <c r="V19" s="5">
        <v>0.5</v>
      </c>
      <c r="W19" s="5">
        <v>1.1000000000000001</v>
      </c>
      <c r="X19" s="5">
        <v>1.5</v>
      </c>
      <c r="Y19" s="5">
        <v>2.2000000000000002</v>
      </c>
      <c r="Z19" s="6">
        <v>2.6</v>
      </c>
      <c r="AA19" s="5"/>
      <c r="AB19" s="5">
        <v>3</v>
      </c>
      <c r="AC19" s="5">
        <v>3.5</v>
      </c>
      <c r="AD19">
        <f t="shared" si="13"/>
        <v>17.68</v>
      </c>
      <c r="AF19" s="2">
        <f t="shared" si="14"/>
        <v>0</v>
      </c>
      <c r="AG19" s="2">
        <f t="shared" si="15"/>
        <v>0</v>
      </c>
      <c r="AH19" s="13">
        <f t="shared" si="16"/>
        <v>4.7609317092460433E-2</v>
      </c>
      <c r="AI19" s="13">
        <f t="shared" si="1"/>
        <v>0.10474049760341299</v>
      </c>
      <c r="AJ19" s="13">
        <f t="shared" si="1"/>
        <v>0.14282795127738132</v>
      </c>
      <c r="AK19" s="13">
        <f t="shared" si="1"/>
        <v>0.20948099520682598</v>
      </c>
      <c r="AL19" s="13">
        <f t="shared" si="1"/>
        <v>0.24756844888079427</v>
      </c>
      <c r="AM19" s="8">
        <f t="shared" si="2"/>
        <v>0</v>
      </c>
      <c r="AN19" s="8">
        <f t="shared" si="3"/>
        <v>0.28565590255476264</v>
      </c>
      <c r="AO19" s="8">
        <f t="shared" si="4"/>
        <v>0.33326521964722311</v>
      </c>
      <c r="AR19" s="16">
        <f t="shared" si="5"/>
        <v>403.92869306278448</v>
      </c>
      <c r="AT19">
        <v>500</v>
      </c>
      <c r="AU19" t="s">
        <v>18</v>
      </c>
      <c r="AV19" s="16">
        <v>1.7</v>
      </c>
      <c r="AZ19">
        <f t="shared" si="6"/>
        <v>0.78600866429006933</v>
      </c>
      <c r="BB19">
        <v>5.9</v>
      </c>
      <c r="BC19">
        <f>$BB19*BC$16/AJ19</f>
        <v>41.308441010554091</v>
      </c>
      <c r="BD19">
        <f>$BB19*BD$16/AK19</f>
        <v>29.573088450737583</v>
      </c>
      <c r="BE19">
        <f>$BB19*BE$16/AL19</f>
        <v>27.406561824309929</v>
      </c>
      <c r="BG19" s="23">
        <f t="shared" ref="BG19:BG36" si="19">(BI$7*BJ19/BJ$7*BI19)*(EXP(BJ19*BH$10/COS(RADIANS(BH$9)))-EXP((BJ19-BI19)*BH$10/COS(RADIANS(BH$9))))</f>
        <v>8.8789883654230177</v>
      </c>
      <c r="BI19" s="16">
        <f t="shared" ref="BI19:BI36" si="20">((BI$4/COS(RADIANS(BI$2-BH$9)))+(1/AZ19))</f>
        <v>2.0655188986891551</v>
      </c>
      <c r="BJ19" s="16">
        <f t="shared" ref="BJ19:BJ36" si="21">((BJ$4/COS(RADIANS(BJ$2-BH$9)))+ (1/AZ19))</f>
        <v>1.8737397511708345</v>
      </c>
      <c r="BM19">
        <v>1.4</v>
      </c>
      <c r="BW19">
        <v>2</v>
      </c>
      <c r="BX19">
        <v>4.4000000000000004</v>
      </c>
    </row>
    <row r="20" spans="1:76" x14ac:dyDescent="0.25">
      <c r="A20" t="s">
        <v>38</v>
      </c>
      <c r="B20">
        <v>51.996000000000002</v>
      </c>
      <c r="C20">
        <v>7.19</v>
      </c>
      <c r="D20">
        <f t="shared" si="0"/>
        <v>7.2317107093184978</v>
      </c>
      <c r="E20">
        <f t="shared" si="7"/>
        <v>8.3272136318178331E+22</v>
      </c>
      <c r="F20">
        <f t="shared" si="8"/>
        <v>1906922915299148</v>
      </c>
      <c r="G20">
        <f t="shared" si="9"/>
        <v>1.2008818846427263E-2</v>
      </c>
      <c r="H20">
        <v>0.185</v>
      </c>
      <c r="I20" s="30">
        <f t="shared" si="17"/>
        <v>2.6521848780380632E-2</v>
      </c>
      <c r="J20" s="30">
        <f t="shared" si="10"/>
        <v>0.1420595914692421</v>
      </c>
      <c r="K20" s="30">
        <f t="shared" si="11"/>
        <v>2.2085310070499675</v>
      </c>
      <c r="L20">
        <v>2180</v>
      </c>
      <c r="M20">
        <v>20.5</v>
      </c>
      <c r="N20">
        <v>397</v>
      </c>
      <c r="O20">
        <v>64.3</v>
      </c>
      <c r="P20">
        <v>1.66</v>
      </c>
      <c r="U20">
        <f t="shared" si="12"/>
        <v>19.365853658536587</v>
      </c>
      <c r="V20" s="5">
        <v>0.67</v>
      </c>
      <c r="W20" s="5">
        <v>1.2</v>
      </c>
      <c r="X20" s="5">
        <v>1.83</v>
      </c>
      <c r="Y20" s="5">
        <v>2.5</v>
      </c>
      <c r="Z20" s="5">
        <v>3.2</v>
      </c>
      <c r="AD20">
        <f t="shared" si="13"/>
        <v>21.8</v>
      </c>
      <c r="AF20" s="2">
        <f t="shared" si="14"/>
        <v>0</v>
      </c>
      <c r="AG20" s="2">
        <f t="shared" si="15"/>
        <v>0</v>
      </c>
      <c r="AH20" s="13">
        <f t="shared" si="16"/>
        <v>6.9677307577767716E-2</v>
      </c>
      <c r="AI20" s="13">
        <f t="shared" si="1"/>
        <v>0.12479517775122576</v>
      </c>
      <c r="AJ20" s="13">
        <f t="shared" si="1"/>
        <v>0.19031264607061926</v>
      </c>
      <c r="AK20" s="13">
        <f t="shared" si="1"/>
        <v>0.25998995364838701</v>
      </c>
      <c r="AL20" s="13">
        <f t="shared" si="1"/>
        <v>0.33278714066993531</v>
      </c>
      <c r="AM20" s="12">
        <f t="shared" si="2"/>
        <v>0</v>
      </c>
      <c r="AN20" s="12">
        <f t="shared" si="3"/>
        <v>0</v>
      </c>
      <c r="AO20" s="12">
        <f t="shared" si="4"/>
        <v>0</v>
      </c>
      <c r="AR20" s="16">
        <f t="shared" si="5"/>
        <v>300.49238020041741</v>
      </c>
      <c r="AT20">
        <v>1000</v>
      </c>
      <c r="AU20" t="s">
        <v>16</v>
      </c>
      <c r="AV20" s="16">
        <v>1.3</v>
      </c>
      <c r="AZ20">
        <f t="shared" si="6"/>
        <v>0.82143713689711195</v>
      </c>
      <c r="BG20" s="23">
        <f t="shared" si="19"/>
        <v>7.8770036019386067</v>
      </c>
      <c r="BI20" s="16">
        <f t="shared" si="20"/>
        <v>2.0106469021071982</v>
      </c>
      <c r="BJ20" s="16">
        <f t="shared" si="21"/>
        <v>1.8188677545888772</v>
      </c>
      <c r="BM20">
        <f>1/BM19</f>
        <v>0.7142857142857143</v>
      </c>
      <c r="BW20">
        <v>1.98</v>
      </c>
      <c r="BX20">
        <v>4.3559999999999999</v>
      </c>
    </row>
    <row r="21" spans="1:76" x14ac:dyDescent="0.25">
      <c r="A21" t="s">
        <v>6</v>
      </c>
      <c r="B21">
        <v>63.54</v>
      </c>
      <c r="C21">
        <v>8.9600000000000009</v>
      </c>
      <c r="D21">
        <f t="shared" si="0"/>
        <v>7.0915178571428568</v>
      </c>
      <c r="E21">
        <f t="shared" si="7"/>
        <v>8.4918350645262843E+22</v>
      </c>
      <c r="F21">
        <f t="shared" si="8"/>
        <v>1931972914859164.5</v>
      </c>
      <c r="G21">
        <f t="shared" si="9"/>
        <v>1.1776017697015702E-2</v>
      </c>
      <c r="H21">
        <v>0.157</v>
      </c>
      <c r="I21" s="30">
        <f t="shared" si="17"/>
        <v>1.621016989197142E-2</v>
      </c>
      <c r="J21" s="30">
        <f t="shared" si="10"/>
        <v>0.14113561285991463</v>
      </c>
      <c r="K21" s="30">
        <f t="shared" si="11"/>
        <v>1.3765408909057115</v>
      </c>
      <c r="L21">
        <v>1358</v>
      </c>
      <c r="M21">
        <v>13.1</v>
      </c>
      <c r="N21">
        <v>338</v>
      </c>
      <c r="O21">
        <v>118.4</v>
      </c>
      <c r="P21">
        <v>1.9</v>
      </c>
      <c r="T21" s="5">
        <v>1.85</v>
      </c>
      <c r="U21">
        <f t="shared" si="12"/>
        <v>25.801526717557252</v>
      </c>
      <c r="V21" s="10">
        <v>0.95</v>
      </c>
      <c r="W21" s="10">
        <v>1.85</v>
      </c>
      <c r="X21" s="10">
        <v>2.8</v>
      </c>
      <c r="Y21" s="10">
        <v>4</v>
      </c>
      <c r="Z21" s="10">
        <v>4.75</v>
      </c>
      <c r="AA21" s="7">
        <f>(AA$14/$T$14)*$T21</f>
        <v>4.2946428571428577</v>
      </c>
      <c r="AB21" s="7">
        <f>(AB$14/$T$14)*$T21</f>
        <v>5.2857142857142865</v>
      </c>
      <c r="AC21" s="7">
        <f>(AC$14/$T$14)*$T21</f>
        <v>6.6071428571428577</v>
      </c>
      <c r="AD21">
        <f t="shared" si="13"/>
        <v>13.58</v>
      </c>
      <c r="AF21" s="2">
        <f t="shared" si="14"/>
        <v>6.2887624154344401E-2</v>
      </c>
      <c r="AG21" s="2">
        <f t="shared" si="15"/>
        <v>6.0676799665178568E-2</v>
      </c>
      <c r="AH21" s="13">
        <f t="shared" si="16"/>
        <v>9.6880934508044081E-2</v>
      </c>
      <c r="AI21" s="13">
        <f t="shared" si="1"/>
        <v>0.18866287246303323</v>
      </c>
      <c r="AJ21" s="13">
        <f t="shared" si="1"/>
        <v>0.28554380697107723</v>
      </c>
      <c r="AK21" s="13">
        <f t="shared" si="1"/>
        <v>0.40791972424439615</v>
      </c>
      <c r="AL21" s="13">
        <f t="shared" si="1"/>
        <v>0.4844046725402204</v>
      </c>
      <c r="AM21" s="8">
        <f t="shared" si="2"/>
        <v>0.43796738250346995</v>
      </c>
      <c r="AN21" s="8">
        <f t="shared" si="3"/>
        <v>0.53903677846580922</v>
      </c>
      <c r="AO21" s="8">
        <f t="shared" si="4"/>
        <v>0.67379597308226147</v>
      </c>
      <c r="AR21" s="16">
        <f t="shared" si="5"/>
        <v>206.43896656817847</v>
      </c>
      <c r="AT21">
        <v>1000</v>
      </c>
      <c r="AU21" t="s">
        <v>17</v>
      </c>
      <c r="AV21" s="16">
        <v>2</v>
      </c>
      <c r="AZ21">
        <f t="shared" si="6"/>
        <v>0.81343616813969666</v>
      </c>
      <c r="BB21">
        <v>7.5</v>
      </c>
      <c r="BC21">
        <f>$BB21*BC$16/AJ21</f>
        <v>26.265672085683427</v>
      </c>
      <c r="BD21">
        <f>$BB21*BD$16/AK21</f>
        <v>19.305268982977314</v>
      </c>
      <c r="BE21">
        <f>$BB21*BE$16/AL21</f>
        <v>17.805360866505392</v>
      </c>
      <c r="BG21" s="23">
        <f t="shared" si="19"/>
        <v>8.0870149501939608</v>
      </c>
      <c r="BI21" s="16">
        <f t="shared" si="20"/>
        <v>2.0226210539913323</v>
      </c>
      <c r="BJ21" s="16">
        <f t="shared" si="21"/>
        <v>1.8308419064730113</v>
      </c>
      <c r="BN21">
        <v>1.4</v>
      </c>
      <c r="BO21">
        <f>1/BN21</f>
        <v>0.7142857142857143</v>
      </c>
      <c r="BW21">
        <v>2.87</v>
      </c>
      <c r="BX21">
        <v>6.3140000000000009</v>
      </c>
    </row>
    <row r="22" spans="1:76" x14ac:dyDescent="0.25">
      <c r="A22" t="s">
        <v>8</v>
      </c>
      <c r="B22">
        <v>55.847000000000001</v>
      </c>
      <c r="C22">
        <v>7.86</v>
      </c>
      <c r="D22">
        <f t="shared" si="0"/>
        <v>7.1052162849872769</v>
      </c>
      <c r="E22">
        <f t="shared" si="7"/>
        <v>8.47546331942629E+22</v>
      </c>
      <c r="F22">
        <f t="shared" si="8"/>
        <v>1929488964887569.7</v>
      </c>
      <c r="G22">
        <f t="shared" si="9"/>
        <v>1.1798765003300028E-2</v>
      </c>
      <c r="H22">
        <v>0.17199999999999999</v>
      </c>
      <c r="I22" s="30">
        <f t="shared" si="17"/>
        <v>2.1314441139964894E-2</v>
      </c>
      <c r="J22" s="30">
        <f t="shared" si="10"/>
        <v>0.14122642992383369</v>
      </c>
      <c r="K22" s="30">
        <f t="shared" si="11"/>
        <v>1.8064976405584314</v>
      </c>
      <c r="L22">
        <v>1811</v>
      </c>
      <c r="M22">
        <v>13.8</v>
      </c>
      <c r="N22">
        <v>415</v>
      </c>
      <c r="O22">
        <v>15.7</v>
      </c>
      <c r="P22">
        <v>1.83</v>
      </c>
      <c r="U22">
        <f t="shared" si="12"/>
        <v>30.072463768115941</v>
      </c>
      <c r="V22" s="5">
        <v>0.52</v>
      </c>
      <c r="W22" s="5">
        <v>1.1000000000000001</v>
      </c>
      <c r="X22" s="5">
        <v>1.55</v>
      </c>
      <c r="Y22" s="5">
        <v>2.2999999999999998</v>
      </c>
      <c r="Z22" s="6">
        <v>2.8</v>
      </c>
      <c r="AA22" s="5">
        <f>(Y22+AB22)/2</f>
        <v>2.65</v>
      </c>
      <c r="AB22" s="5">
        <v>3</v>
      </c>
      <c r="AC22" s="5">
        <v>3.5</v>
      </c>
      <c r="AD22">
        <f t="shared" si="13"/>
        <v>18.11</v>
      </c>
      <c r="AF22" s="2">
        <f t="shared" si="14"/>
        <v>0</v>
      </c>
      <c r="AG22" s="2">
        <f t="shared" si="15"/>
        <v>0</v>
      </c>
      <c r="AH22" s="13">
        <f t="shared" si="16"/>
        <v>5.3131999437529463E-2</v>
      </c>
      <c r="AI22" s="13">
        <f t="shared" si="1"/>
        <v>0.11239461419477387</v>
      </c>
      <c r="AJ22" s="13">
        <f t="shared" si="1"/>
        <v>0.15837422909263588</v>
      </c>
      <c r="AK22" s="13">
        <f t="shared" si="1"/>
        <v>0.2350069205890726</v>
      </c>
      <c r="AL22" s="13">
        <f t="shared" si="1"/>
        <v>0.28609538158669706</v>
      </c>
      <c r="AM22" s="8">
        <f t="shared" si="2"/>
        <v>0.27076884328740974</v>
      </c>
      <c r="AN22" s="8">
        <f t="shared" si="3"/>
        <v>0.30653076598574691</v>
      </c>
      <c r="AO22" s="8">
        <f t="shared" si="4"/>
        <v>0.3576192269833714</v>
      </c>
      <c r="AR22" s="16">
        <f t="shared" si="5"/>
        <v>349.53377941788426</v>
      </c>
      <c r="AT22">
        <v>1000</v>
      </c>
      <c r="AU22" t="s">
        <v>18</v>
      </c>
      <c r="AV22" s="16">
        <v>2.7</v>
      </c>
      <c r="AZ22">
        <f t="shared" si="6"/>
        <v>0.81422141920803803</v>
      </c>
      <c r="BG22" s="23">
        <f t="shared" si="19"/>
        <v>8.0660107298641606</v>
      </c>
      <c r="BI22" s="16">
        <f t="shared" si="20"/>
        <v>2.0214354421332517</v>
      </c>
      <c r="BJ22" s="16">
        <f t="shared" si="21"/>
        <v>1.8296562946149306</v>
      </c>
      <c r="BW22">
        <v>3.7</v>
      </c>
      <c r="BX22">
        <f t="shared" ref="BX22:BX27" si="22">BW23*2.2</f>
        <v>4.4000000000000004</v>
      </c>
    </row>
    <row r="23" spans="1:76" x14ac:dyDescent="0.25">
      <c r="A23" t="s">
        <v>53</v>
      </c>
      <c r="B23">
        <v>83.72</v>
      </c>
      <c r="C23">
        <v>6.1</v>
      </c>
      <c r="D23">
        <f t="shared" si="0"/>
        <v>13.724590163934426</v>
      </c>
      <c r="E23">
        <f t="shared" si="7"/>
        <v>4.3877448638318202E+22</v>
      </c>
      <c r="F23">
        <f t="shared" si="8"/>
        <v>1244020616304892</v>
      </c>
      <c r="G23">
        <f t="shared" si="9"/>
        <v>2.2790750853428143E-2</v>
      </c>
      <c r="I23" s="30">
        <f t="shared" si="17"/>
        <v>0</v>
      </c>
      <c r="J23" s="30">
        <f t="shared" si="10"/>
        <v>0.1758827880752763</v>
      </c>
      <c r="K23" s="30">
        <f t="shared" si="11"/>
        <v>0</v>
      </c>
      <c r="L23">
        <v>2000</v>
      </c>
      <c r="P23">
        <f>(1.81+3.04)/2</f>
        <v>2.4249999999999998</v>
      </c>
      <c r="T23" s="16">
        <v>0.3</v>
      </c>
      <c r="U23" t="e">
        <f t="shared" si="12"/>
        <v>#DIV/0!</v>
      </c>
      <c r="V23" s="15">
        <f t="shared" ref="V23:AC23" si="23">(V$31/$T$31)*$T23</f>
        <v>0.108</v>
      </c>
      <c r="W23" s="15">
        <f t="shared" si="23"/>
        <v>0.252</v>
      </c>
      <c r="X23" s="15">
        <f t="shared" si="23"/>
        <v>0.42</v>
      </c>
      <c r="Y23" s="15">
        <f t="shared" si="23"/>
        <v>0.6</v>
      </c>
      <c r="Z23" s="15">
        <f t="shared" si="23"/>
        <v>0.72</v>
      </c>
      <c r="AA23" s="15">
        <f t="shared" si="23"/>
        <v>0.72</v>
      </c>
      <c r="AB23" s="15">
        <f t="shared" si="23"/>
        <v>0.84</v>
      </c>
      <c r="AC23" s="15">
        <f t="shared" si="23"/>
        <v>0.89999999999999991</v>
      </c>
      <c r="AD23">
        <f t="shared" si="13"/>
        <v>20</v>
      </c>
      <c r="AF23" s="2">
        <f t="shared" si="14"/>
        <v>1.9736716270834818E-2</v>
      </c>
      <c r="AG23" s="2">
        <f t="shared" si="15"/>
        <v>1.9042868852459018E-2</v>
      </c>
      <c r="AH23" s="13">
        <f t="shared" si="16"/>
        <v>2.1315653572501606E-2</v>
      </c>
      <c r="AI23" s="13">
        <f t="shared" si="1"/>
        <v>4.9736525002503744E-2</v>
      </c>
      <c r="AJ23" s="13">
        <f t="shared" si="1"/>
        <v>8.2894208337506242E-2</v>
      </c>
      <c r="AK23" s="13">
        <f t="shared" si="1"/>
        <v>0.1184202976250089</v>
      </c>
      <c r="AL23" s="13">
        <f t="shared" si="1"/>
        <v>0.14210435715001069</v>
      </c>
      <c r="AM23" s="14">
        <f t="shared" si="2"/>
        <v>0.14210435715001069</v>
      </c>
      <c r="AN23" s="14">
        <f t="shared" si="3"/>
        <v>0.16578841667501248</v>
      </c>
      <c r="AO23" s="14">
        <f t="shared" si="4"/>
        <v>0.17763044643751336</v>
      </c>
      <c r="AR23" s="16">
        <f t="shared" si="5"/>
        <v>703.70819027340769</v>
      </c>
      <c r="AT23">
        <v>2000</v>
      </c>
      <c r="AU23" t="s">
        <v>16</v>
      </c>
      <c r="AV23" s="16">
        <v>1.3</v>
      </c>
      <c r="BG23" s="23" t="e">
        <f t="shared" si="19"/>
        <v>#DIV/0!</v>
      </c>
      <c r="BI23" s="16" t="e">
        <f t="shared" si="20"/>
        <v>#DIV/0!</v>
      </c>
      <c r="BJ23" s="16" t="e">
        <f t="shared" si="21"/>
        <v>#DIV/0!</v>
      </c>
      <c r="BW23">
        <v>2</v>
      </c>
      <c r="BX23">
        <f t="shared" si="22"/>
        <v>8.2940000000000005</v>
      </c>
    </row>
    <row r="24" spans="1:76" x14ac:dyDescent="0.25">
      <c r="A24" t="s">
        <v>9</v>
      </c>
      <c r="B24">
        <v>72.599999999999994</v>
      </c>
      <c r="C24">
        <v>5.32</v>
      </c>
      <c r="D24">
        <f t="shared" si="0"/>
        <v>13.646616541353382</v>
      </c>
      <c r="E24">
        <f t="shared" si="7"/>
        <v>4.412815426997246E+22</v>
      </c>
      <c r="F24">
        <f t="shared" si="8"/>
        <v>1248754813198283.7</v>
      </c>
      <c r="G24">
        <f t="shared" si="9"/>
        <v>2.2661269580460611E-2</v>
      </c>
      <c r="H24">
        <v>0.152</v>
      </c>
      <c r="I24" s="30">
        <f t="shared" si="17"/>
        <v>1.4710226951490485E-2</v>
      </c>
      <c r="J24" s="30">
        <f t="shared" si="10"/>
        <v>0.17554907387270452</v>
      </c>
      <c r="K24" s="30">
        <f t="shared" si="11"/>
        <v>0.64913516426167883</v>
      </c>
      <c r="L24">
        <v>1211</v>
      </c>
      <c r="M24">
        <v>31.8</v>
      </c>
      <c r="N24">
        <v>377</v>
      </c>
      <c r="O24">
        <v>110</v>
      </c>
      <c r="P24">
        <v>2.0099999999999998</v>
      </c>
      <c r="Q24">
        <v>0.27800000000000002</v>
      </c>
      <c r="R24">
        <v>8</v>
      </c>
      <c r="S24">
        <v>6.3</v>
      </c>
      <c r="U24">
        <f t="shared" si="12"/>
        <v>11.855345911949685</v>
      </c>
      <c r="V24" s="5">
        <v>0.55000000000000004</v>
      </c>
      <c r="W24" s="5">
        <v>1.1000000000000001</v>
      </c>
      <c r="X24" s="5">
        <v>1.6</v>
      </c>
      <c r="Y24" s="5">
        <v>2.2999999999999998</v>
      </c>
      <c r="Z24" s="6">
        <v>2.7</v>
      </c>
      <c r="AA24" s="5">
        <f>(Y24+AB24)/2</f>
        <v>2.4500000000000002</v>
      </c>
      <c r="AB24" s="5">
        <v>2.6</v>
      </c>
      <c r="AC24" s="5">
        <v>3.2</v>
      </c>
      <c r="AD24">
        <f t="shared" si="13"/>
        <v>12.11</v>
      </c>
      <c r="AF24" s="2">
        <f t="shared" si="14"/>
        <v>0</v>
      </c>
      <c r="AG24" s="2">
        <f t="shared" si="15"/>
        <v>0</v>
      </c>
      <c r="AH24" s="13">
        <f t="shared" si="16"/>
        <v>0.10793522249774688</v>
      </c>
      <c r="AI24" s="13">
        <f t="shared" si="1"/>
        <v>0.21587044499549377</v>
      </c>
      <c r="AJ24" s="13">
        <f t="shared" si="1"/>
        <v>0.31399337453890008</v>
      </c>
      <c r="AK24" s="13">
        <f t="shared" si="1"/>
        <v>0.45136547589966869</v>
      </c>
      <c r="AL24" s="13">
        <f t="shared" si="1"/>
        <v>0.52986381953439365</v>
      </c>
      <c r="AM24" s="8">
        <f t="shared" si="2"/>
        <v>0.48080235476269062</v>
      </c>
      <c r="AN24" s="8">
        <f t="shared" si="3"/>
        <v>0.51023923362571244</v>
      </c>
      <c r="AO24" s="8">
        <f t="shared" si="4"/>
        <v>0.62798674907780017</v>
      </c>
      <c r="AR24" s="16">
        <f t="shared" si="5"/>
        <v>188.72773779472777</v>
      </c>
      <c r="AT24">
        <v>2000</v>
      </c>
      <c r="AU24" t="s">
        <v>17</v>
      </c>
      <c r="AV24" s="16">
        <v>2</v>
      </c>
      <c r="AZ24">
        <f>538*J24/AZ$12^2 + 0.41*J24*SQRT(J24*AZ$12)</f>
        <v>1.1284030066903656</v>
      </c>
      <c r="BG24" s="23">
        <f t="shared" si="19"/>
        <v>3.6298849546812781</v>
      </c>
      <c r="BI24" s="16">
        <f t="shared" si="20"/>
        <v>1.6794764942819138</v>
      </c>
      <c r="BJ24" s="16">
        <f t="shared" si="21"/>
        <v>1.4876973467635928</v>
      </c>
      <c r="BN24">
        <v>2.2999999999999998</v>
      </c>
      <c r="BO24">
        <f>1/BN24</f>
        <v>0.43478260869565222</v>
      </c>
      <c r="BW24">
        <v>3.77</v>
      </c>
      <c r="BX24">
        <f t="shared" si="22"/>
        <v>10.098000000000001</v>
      </c>
    </row>
    <row r="25" spans="1:76" x14ac:dyDescent="0.25">
      <c r="A25" t="s">
        <v>51</v>
      </c>
      <c r="B25">
        <v>40.299999999999997</v>
      </c>
      <c r="C25">
        <v>3.6</v>
      </c>
      <c r="D25">
        <f t="shared" si="0"/>
        <v>11.194444444444443</v>
      </c>
      <c r="E25">
        <f t="shared" si="7"/>
        <v>5.3794540942928051E+22</v>
      </c>
      <c r="F25">
        <f t="shared" si="8"/>
        <v>1425034801285769.7</v>
      </c>
      <c r="G25">
        <f t="shared" si="9"/>
        <v>1.8589246835676591E-2</v>
      </c>
      <c r="I25" s="30">
        <f t="shared" si="17"/>
        <v>0</v>
      </c>
      <c r="J25" s="30">
        <f t="shared" si="10"/>
        <v>0.16433285293097588</v>
      </c>
      <c r="K25" s="30">
        <f t="shared" si="11"/>
        <v>0</v>
      </c>
      <c r="L25">
        <v>3100</v>
      </c>
      <c r="M25" s="50">
        <v>57.6</v>
      </c>
      <c r="N25" s="50"/>
      <c r="O25" s="50"/>
      <c r="P25" s="50">
        <f>(1.3+3.44)/2</f>
        <v>2.37</v>
      </c>
      <c r="T25" s="16">
        <v>0.08</v>
      </c>
      <c r="U25">
        <f t="shared" si="12"/>
        <v>0</v>
      </c>
      <c r="V25" s="15">
        <f t="shared" ref="V25:AC25" si="24">(V$31/$T$31)*$T25</f>
        <v>2.8799999999999999E-2</v>
      </c>
      <c r="W25" s="15">
        <f t="shared" si="24"/>
        <v>6.7199999999999996E-2</v>
      </c>
      <c r="X25" s="15">
        <f t="shared" si="24"/>
        <v>0.11199999999999999</v>
      </c>
      <c r="Y25" s="15">
        <f t="shared" si="24"/>
        <v>0.16</v>
      </c>
      <c r="Z25" s="15">
        <f t="shared" si="24"/>
        <v>0.192</v>
      </c>
      <c r="AA25" s="15">
        <f t="shared" si="24"/>
        <v>0.192</v>
      </c>
      <c r="AB25" s="15">
        <f t="shared" si="24"/>
        <v>0.22399999999999998</v>
      </c>
      <c r="AC25" s="15">
        <f t="shared" si="24"/>
        <v>0.24</v>
      </c>
      <c r="AD25">
        <f t="shared" si="13"/>
        <v>31</v>
      </c>
      <c r="AF25" s="2">
        <f t="shared" si="14"/>
        <v>4.2928606473600917E-3</v>
      </c>
      <c r="AG25" s="2">
        <f t="shared" si="15"/>
        <v>4.1419444444444446E-3</v>
      </c>
      <c r="AH25" s="13">
        <f t="shared" si="16"/>
        <v>4.6362894991488993E-3</v>
      </c>
      <c r="AI25" s="13">
        <f t="shared" si="1"/>
        <v>1.0818008831347429E-2</v>
      </c>
      <c r="AJ25" s="13">
        <f t="shared" si="1"/>
        <v>1.8030014718912381E-2</v>
      </c>
      <c r="AK25" s="13">
        <f t="shared" si="1"/>
        <v>2.5757163884160546E-2</v>
      </c>
      <c r="AL25" s="13">
        <f t="shared" si="1"/>
        <v>3.0908596660992663E-2</v>
      </c>
      <c r="AM25" s="14">
        <f t="shared" si="2"/>
        <v>3.0908596660992663E-2</v>
      </c>
      <c r="AN25" s="14">
        <f t="shared" si="3"/>
        <v>3.6060029437824763E-2</v>
      </c>
      <c r="AO25" s="14">
        <f t="shared" si="4"/>
        <v>3.8635745826240825E-2</v>
      </c>
      <c r="AR25" s="16">
        <f t="shared" si="5"/>
        <v>3235.3458520555296</v>
      </c>
      <c r="AT25">
        <v>2000</v>
      </c>
      <c r="AU25" t="s">
        <v>18</v>
      </c>
      <c r="AV25" s="16">
        <v>3.3</v>
      </c>
      <c r="BB25">
        <v>2</v>
      </c>
      <c r="BC25">
        <f>$BB25*BC$16/AJ25</f>
        <v>110.92614349904676</v>
      </c>
      <c r="BD25">
        <f>$BB25*BD$16/AK25</f>
        <v>81.530715471799368</v>
      </c>
      <c r="BE25">
        <f>$BB25*BE$16/AL25</f>
        <v>74.412954597277164</v>
      </c>
      <c r="BG25" s="23" t="e">
        <f t="shared" si="19"/>
        <v>#DIV/0!</v>
      </c>
      <c r="BI25" s="16" t="e">
        <f t="shared" si="20"/>
        <v>#DIV/0!</v>
      </c>
      <c r="BJ25" s="16" t="e">
        <f t="shared" si="21"/>
        <v>#DIV/0!</v>
      </c>
      <c r="BW25">
        <v>4.59</v>
      </c>
      <c r="BX25">
        <f t="shared" si="22"/>
        <v>4.4000000000000004</v>
      </c>
    </row>
    <row r="26" spans="1:76" x14ac:dyDescent="0.25">
      <c r="A26" t="s">
        <v>39</v>
      </c>
      <c r="B26">
        <v>95.94</v>
      </c>
      <c r="C26">
        <v>10.220000000000001</v>
      </c>
      <c r="D26">
        <f t="shared" si="0"/>
        <v>9.3874755381604693</v>
      </c>
      <c r="E26">
        <f t="shared" si="7"/>
        <v>6.4149301646862624E+22</v>
      </c>
      <c r="F26">
        <f t="shared" si="8"/>
        <v>1602487394292261.5</v>
      </c>
      <c r="G26">
        <f t="shared" si="9"/>
        <v>1.5588634238061224E-2</v>
      </c>
      <c r="H26">
        <v>0.20100000000000001</v>
      </c>
      <c r="I26" s="30">
        <f t="shared" si="17"/>
        <v>3.401549392577858E-2</v>
      </c>
      <c r="J26" s="30">
        <f t="shared" si="10"/>
        <v>0.1549672118305789</v>
      </c>
      <c r="K26" s="30">
        <f t="shared" si="11"/>
        <v>2.1820701805117935</v>
      </c>
      <c r="L26">
        <v>2896</v>
      </c>
      <c r="M26">
        <v>36</v>
      </c>
      <c r="N26">
        <v>659</v>
      </c>
      <c r="O26">
        <v>71.900000000000006</v>
      </c>
      <c r="P26">
        <v>2.15</v>
      </c>
      <c r="U26">
        <f t="shared" si="12"/>
        <v>18.305555555555557</v>
      </c>
      <c r="V26" s="5">
        <v>0.23</v>
      </c>
      <c r="W26" s="5">
        <v>0.55000000000000004</v>
      </c>
      <c r="X26" s="5">
        <v>0.9</v>
      </c>
      <c r="Y26" s="5">
        <v>1.25</v>
      </c>
      <c r="Z26" s="5">
        <v>1.45</v>
      </c>
      <c r="AD26">
        <f t="shared" si="13"/>
        <v>28.96</v>
      </c>
      <c r="AF26" s="2">
        <f t="shared" si="14"/>
        <v>0</v>
      </c>
      <c r="AG26" s="2">
        <f t="shared" si="15"/>
        <v>0</v>
      </c>
      <c r="AH26" s="13">
        <f t="shared" si="16"/>
        <v>3.1049325310331343E-2</v>
      </c>
      <c r="AI26" s="13">
        <f t="shared" si="1"/>
        <v>7.4248386611661915E-2</v>
      </c>
      <c r="AJ26" s="13">
        <f t="shared" si="1"/>
        <v>0.12149735990999222</v>
      </c>
      <c r="AK26" s="13">
        <f t="shared" si="1"/>
        <v>0.1687463332083225</v>
      </c>
      <c r="AL26" s="13">
        <f t="shared" si="1"/>
        <v>0.19574574652165408</v>
      </c>
      <c r="AM26" s="12">
        <f t="shared" si="2"/>
        <v>0</v>
      </c>
      <c r="AN26" s="12">
        <f t="shared" si="3"/>
        <v>0</v>
      </c>
      <c r="AO26" s="12">
        <f t="shared" si="4"/>
        <v>0</v>
      </c>
      <c r="AR26" s="16">
        <f t="shared" si="5"/>
        <v>510.86678396323492</v>
      </c>
      <c r="AT26">
        <v>3000</v>
      </c>
      <c r="AU26" t="s">
        <v>16</v>
      </c>
      <c r="AV26" s="16">
        <v>1.3</v>
      </c>
      <c r="AZ26">
        <f t="shared" ref="AZ26:AZ31" si="25">538*J26/AZ$12^2 + 0.41*J26*SQRT(J26*AZ$12)</f>
        <v>0.93589546496352027</v>
      </c>
      <c r="BG26" s="23">
        <f t="shared" si="19"/>
        <v>5.6271291754371688</v>
      </c>
      <c r="BI26" s="16">
        <f t="shared" si="20"/>
        <v>1.861763692868398</v>
      </c>
      <c r="BJ26" s="16">
        <f t="shared" si="21"/>
        <v>1.669984545350077</v>
      </c>
      <c r="BN26">
        <v>1.6</v>
      </c>
      <c r="BO26">
        <f>1/BN26</f>
        <v>0.625</v>
      </c>
      <c r="BW26">
        <v>2</v>
      </c>
      <c r="BX26">
        <f t="shared" si="22"/>
        <v>10.054000000000002</v>
      </c>
    </row>
    <row r="27" spans="1:76" x14ac:dyDescent="0.25">
      <c r="A27" t="s">
        <v>10</v>
      </c>
      <c r="B27">
        <v>92.9</v>
      </c>
      <c r="C27">
        <v>8.57</v>
      </c>
      <c r="D27">
        <f t="shared" si="0"/>
        <v>10.840140023337224</v>
      </c>
      <c r="E27">
        <f t="shared" si="7"/>
        <v>5.555278794402583E+22</v>
      </c>
      <c r="F27">
        <f t="shared" si="8"/>
        <v>1455919086198350.7</v>
      </c>
      <c r="G27">
        <f t="shared" si="9"/>
        <v>1.8000896750809074E-2</v>
      </c>
      <c r="H27">
        <v>0.20799999999999999</v>
      </c>
      <c r="I27" s="30">
        <f t="shared" si="17"/>
        <v>3.7694554439334706E-2</v>
      </c>
      <c r="J27" s="30">
        <f t="shared" si="10"/>
        <v>0.16258052084496324</v>
      </c>
      <c r="K27" s="30">
        <f t="shared" si="11"/>
        <v>2.0940375894128982</v>
      </c>
      <c r="L27">
        <v>2750</v>
      </c>
      <c r="M27">
        <v>26.8</v>
      </c>
      <c r="N27">
        <v>733</v>
      </c>
      <c r="O27">
        <v>86.1</v>
      </c>
      <c r="P27">
        <v>1.6</v>
      </c>
      <c r="U27">
        <f t="shared" si="12"/>
        <v>27.350746268656717</v>
      </c>
      <c r="V27" s="5">
        <v>0.2</v>
      </c>
      <c r="W27" s="5">
        <v>0.5</v>
      </c>
      <c r="X27" s="5">
        <v>1.2</v>
      </c>
      <c r="Y27" s="5">
        <v>2</v>
      </c>
      <c r="Z27" s="6">
        <f>SQRT(Y27*AB27)</f>
        <v>2.0976176963403033</v>
      </c>
      <c r="AA27" s="5">
        <f>(Y27+AB27)/2</f>
        <v>2.1</v>
      </c>
      <c r="AB27" s="5">
        <v>2.2000000000000002</v>
      </c>
      <c r="AC27" s="5">
        <v>2.4</v>
      </c>
      <c r="AD27">
        <f t="shared" si="13"/>
        <v>27.5</v>
      </c>
      <c r="AF27" s="2">
        <f t="shared" si="14"/>
        <v>0</v>
      </c>
      <c r="AG27" s="2">
        <f t="shared" si="15"/>
        <v>0</v>
      </c>
      <c r="AH27" s="13">
        <f t="shared" si="16"/>
        <v>3.1177436327234541E-2</v>
      </c>
      <c r="AI27" s="13">
        <f t="shared" si="1"/>
        <v>7.7943590818086342E-2</v>
      </c>
      <c r="AJ27" s="13">
        <f t="shared" si="1"/>
        <v>0.18706461796340723</v>
      </c>
      <c r="AK27" s="13">
        <f t="shared" si="1"/>
        <v>0.31177436327234537</v>
      </c>
      <c r="AL27" s="13">
        <f t="shared" si="1"/>
        <v>0.32699171083265094</v>
      </c>
      <c r="AM27" s="8">
        <f t="shared" si="2"/>
        <v>0.32736308143596266</v>
      </c>
      <c r="AN27" s="8">
        <f t="shared" si="3"/>
        <v>0.34295179959957994</v>
      </c>
      <c r="AO27" s="8">
        <f t="shared" si="4"/>
        <v>0.37412923592681446</v>
      </c>
      <c r="AR27" s="16">
        <f t="shared" si="5"/>
        <v>305.81814977927189</v>
      </c>
      <c r="AT27">
        <v>3000</v>
      </c>
      <c r="AU27" t="s">
        <v>17</v>
      </c>
      <c r="AV27" s="16">
        <v>2</v>
      </c>
      <c r="AZ27">
        <f t="shared" si="25"/>
        <v>1.005703385271294</v>
      </c>
      <c r="BG27" s="23">
        <f t="shared" si="19"/>
        <v>4.7260383851586427</v>
      </c>
      <c r="BI27" s="16">
        <f t="shared" si="20"/>
        <v>1.7875972508688094</v>
      </c>
      <c r="BJ27" s="16">
        <f t="shared" si="21"/>
        <v>1.5958181033504886</v>
      </c>
      <c r="BW27">
        <v>4.57</v>
      </c>
      <c r="BX27">
        <f t="shared" si="22"/>
        <v>12.034000000000001</v>
      </c>
    </row>
    <row r="28" spans="1:76" x14ac:dyDescent="0.25">
      <c r="A28" t="s">
        <v>37</v>
      </c>
      <c r="B28">
        <v>58.69</v>
      </c>
      <c r="C28">
        <v>8.9</v>
      </c>
      <c r="D28">
        <f t="shared" si="0"/>
        <v>6.5943820224719092</v>
      </c>
      <c r="E28">
        <f t="shared" si="7"/>
        <v>9.1320156755835763E+22</v>
      </c>
      <c r="F28">
        <f t="shared" si="8"/>
        <v>2027890180190692.2</v>
      </c>
      <c r="G28">
        <f t="shared" si="9"/>
        <v>1.0950484926057637E-2</v>
      </c>
      <c r="H28">
        <v>0.16200000000000001</v>
      </c>
      <c r="I28" s="30">
        <f t="shared" si="17"/>
        <v>1.7808758841775074E-2</v>
      </c>
      <c r="J28" s="30">
        <f t="shared" si="10"/>
        <v>0.13775739261321227</v>
      </c>
      <c r="K28" s="30">
        <f t="shared" si="11"/>
        <v>1.626298649057776</v>
      </c>
      <c r="L28">
        <v>1728</v>
      </c>
      <c r="M28">
        <v>17.2</v>
      </c>
      <c r="N28">
        <v>431</v>
      </c>
      <c r="O28">
        <v>112</v>
      </c>
      <c r="P28">
        <v>1.91</v>
      </c>
      <c r="U28">
        <f t="shared" si="12"/>
        <v>25.058139534883722</v>
      </c>
      <c r="V28" s="5">
        <v>0.5</v>
      </c>
      <c r="W28" s="5">
        <v>1.05</v>
      </c>
      <c r="X28" s="5">
        <v>1.5</v>
      </c>
      <c r="Y28" s="5">
        <v>2.1</v>
      </c>
      <c r="Z28" s="11">
        <v>2.4500000000000002</v>
      </c>
      <c r="AD28">
        <f t="shared" si="13"/>
        <v>17.28</v>
      </c>
      <c r="AF28" s="2">
        <f t="shared" si="14"/>
        <v>0</v>
      </c>
      <c r="AG28" s="2">
        <f t="shared" si="15"/>
        <v>0</v>
      </c>
      <c r="AH28" s="13">
        <f t="shared" si="16"/>
        <v>4.7415422028788443E-2</v>
      </c>
      <c r="AI28" s="13">
        <f t="shared" si="1"/>
        <v>9.9572386260455739E-2</v>
      </c>
      <c r="AJ28" s="13">
        <f t="shared" si="1"/>
        <v>0.14224626608636537</v>
      </c>
      <c r="AK28" s="13">
        <f t="shared" si="1"/>
        <v>0.19914477252091148</v>
      </c>
      <c r="AL28" s="13">
        <f t="shared" si="1"/>
        <v>0.23233556794106341</v>
      </c>
      <c r="AM28" s="12">
        <f t="shared" si="2"/>
        <v>0</v>
      </c>
      <c r="AN28" s="12">
        <f t="shared" si="3"/>
        <v>0</v>
      </c>
      <c r="AO28" s="12">
        <f t="shared" si="4"/>
        <v>0</v>
      </c>
      <c r="AR28" s="16">
        <f t="shared" si="5"/>
        <v>430.41192911697021</v>
      </c>
      <c r="AT28">
        <v>3000</v>
      </c>
      <c r="AU28" t="s">
        <v>18</v>
      </c>
      <c r="AV28" s="16">
        <v>3.7</v>
      </c>
      <c r="AZ28">
        <f t="shared" si="25"/>
        <v>0.784406496390607</v>
      </c>
      <c r="BG28" s="23">
        <f t="shared" si="19"/>
        <v>8.9290146137441759</v>
      </c>
      <c r="BI28" s="16">
        <f t="shared" si="20"/>
        <v>2.0681174991488351</v>
      </c>
      <c r="BJ28" s="16">
        <f t="shared" si="21"/>
        <v>1.8763383516305145</v>
      </c>
      <c r="BW28">
        <v>5.47</v>
      </c>
    </row>
    <row r="29" spans="1:76" x14ac:dyDescent="0.25">
      <c r="A29" t="s">
        <v>52</v>
      </c>
      <c r="B29">
        <v>106.42</v>
      </c>
      <c r="C29">
        <v>12</v>
      </c>
      <c r="D29">
        <f t="shared" si="0"/>
        <v>8.8683333333333341</v>
      </c>
      <c r="E29">
        <f t="shared" si="7"/>
        <v>6.7904529223830104E+22</v>
      </c>
      <c r="F29">
        <f t="shared" si="8"/>
        <v>1664431124555883</v>
      </c>
      <c r="G29">
        <f t="shared" si="9"/>
        <v>1.4726558175578436E-2</v>
      </c>
      <c r="H29">
        <v>0.17899999999999999</v>
      </c>
      <c r="I29" s="30">
        <f t="shared" si="17"/>
        <v>2.4024131824329373E-2</v>
      </c>
      <c r="J29" s="30">
        <f t="shared" si="10"/>
        <v>0.15205622908937477</v>
      </c>
      <c r="K29" s="30">
        <f t="shared" si="11"/>
        <v>1.6313473615423206</v>
      </c>
      <c r="L29">
        <v>1828</v>
      </c>
      <c r="M29">
        <v>16.7</v>
      </c>
      <c r="N29">
        <v>377</v>
      </c>
      <c r="O29">
        <v>53.7</v>
      </c>
      <c r="P29">
        <v>2.2000000000000002</v>
      </c>
      <c r="U29">
        <f t="shared" si="12"/>
        <v>22.574850299401199</v>
      </c>
      <c r="V29" s="16">
        <v>0.85</v>
      </c>
      <c r="W29" s="16">
        <v>1.4</v>
      </c>
      <c r="X29" s="16">
        <v>2.33</v>
      </c>
      <c r="Y29" s="16">
        <v>3.3</v>
      </c>
      <c r="Z29" s="16">
        <v>4.0999999999999996</v>
      </c>
      <c r="AA29" s="16"/>
      <c r="AB29" s="16"/>
      <c r="AC29" s="16"/>
      <c r="AD29">
        <f t="shared" si="13"/>
        <v>18.28</v>
      </c>
      <c r="AF29" s="2">
        <f t="shared" si="14"/>
        <v>0</v>
      </c>
      <c r="AG29" s="2">
        <f t="shared" si="15"/>
        <v>0</v>
      </c>
      <c r="AH29" s="13">
        <f t="shared" si="16"/>
        <v>0.10840178846787428</v>
      </c>
      <c r="AI29" s="13">
        <f t="shared" si="1"/>
        <v>0.17854412218238114</v>
      </c>
      <c r="AJ29" s="13">
        <f t="shared" si="1"/>
        <v>0.29714843191782009</v>
      </c>
      <c r="AK29" s="13">
        <f t="shared" si="1"/>
        <v>0.42085400228704128</v>
      </c>
      <c r="AL29" s="13">
        <f t="shared" si="1"/>
        <v>0.52287921496268763</v>
      </c>
      <c r="AM29" s="14">
        <f t="shared" si="2"/>
        <v>0</v>
      </c>
      <c r="AN29" s="14">
        <f t="shared" si="3"/>
        <v>0</v>
      </c>
      <c r="AO29" s="14">
        <f t="shared" si="4"/>
        <v>0</v>
      </c>
      <c r="AR29" s="16">
        <f t="shared" si="5"/>
        <v>191.24875714774004</v>
      </c>
      <c r="AZ29">
        <f t="shared" si="25"/>
        <v>0.90964958556337216</v>
      </c>
      <c r="BB29">
        <v>15</v>
      </c>
      <c r="BC29">
        <f t="shared" ref="BC29:BE30" si="26">$BB29*BC$16/AJ29</f>
        <v>50.479822165605192</v>
      </c>
      <c r="BD29">
        <f t="shared" si="26"/>
        <v>37.423904523682765</v>
      </c>
      <c r="BE29">
        <f t="shared" si="26"/>
        <v>32.990410607985154</v>
      </c>
      <c r="BG29" s="23">
        <f t="shared" si="19"/>
        <v>6.0418745608391262</v>
      </c>
      <c r="BI29" s="16">
        <f t="shared" si="20"/>
        <v>1.892592708651698</v>
      </c>
      <c r="BJ29" s="16">
        <f t="shared" si="21"/>
        <v>1.7008135611333772</v>
      </c>
    </row>
    <row r="30" spans="1:76" x14ac:dyDescent="0.25">
      <c r="A30" t="s">
        <v>45</v>
      </c>
      <c r="B30">
        <v>195.08</v>
      </c>
      <c r="C30">
        <v>21.45</v>
      </c>
      <c r="D30">
        <f t="shared" si="0"/>
        <v>9.0946386946386948</v>
      </c>
      <c r="E30">
        <f t="shared" si="7"/>
        <v>6.6214834939511999E+22</v>
      </c>
      <c r="F30">
        <f t="shared" si="8"/>
        <v>1636704213737781.2</v>
      </c>
      <c r="G30">
        <f t="shared" si="9"/>
        <v>1.5102355852937054E-2</v>
      </c>
      <c r="H30">
        <v>0.183</v>
      </c>
      <c r="I30" s="30">
        <f t="shared" si="17"/>
        <v>2.5670946315760734E-2</v>
      </c>
      <c r="J30" s="30">
        <f t="shared" si="10"/>
        <v>0.15333878931766112</v>
      </c>
      <c r="K30" s="30">
        <f t="shared" si="11"/>
        <v>1.6997974730391707</v>
      </c>
      <c r="L30">
        <v>2041</v>
      </c>
      <c r="M30">
        <v>20</v>
      </c>
      <c r="N30">
        <v>565</v>
      </c>
      <c r="O30">
        <v>205.2</v>
      </c>
      <c r="P30">
        <v>2.2799999999999998</v>
      </c>
      <c r="U30">
        <f t="shared" si="12"/>
        <v>28.25</v>
      </c>
      <c r="V30" s="5">
        <v>0.43</v>
      </c>
      <c r="W30" s="5">
        <v>0.97</v>
      </c>
      <c r="X30" s="5">
        <v>1.5</v>
      </c>
      <c r="Y30" s="5">
        <v>2.2000000000000002</v>
      </c>
      <c r="Z30" s="11">
        <v>2.65</v>
      </c>
      <c r="AD30">
        <f t="shared" si="13"/>
        <v>20.41</v>
      </c>
      <c r="AF30" s="2">
        <f t="shared" si="14"/>
        <v>0</v>
      </c>
      <c r="AG30" s="2">
        <f t="shared" si="15"/>
        <v>0</v>
      </c>
      <c r="AH30" s="13">
        <f t="shared" si="16"/>
        <v>5.6237941959546678E-2</v>
      </c>
      <c r="AI30" s="13">
        <f t="shared" ref="AI30:AI36" si="27">$B$5*$B30*W30*(($B$1/1000000)/($B$3/100))*10000000/($C30*6.022E+23*1.6022E-19)</f>
        <v>0.12686233418781459</v>
      </c>
      <c r="AJ30" s="13">
        <f t="shared" ref="AJ30:AJ36" si="28">$B$5*$B30*X30*(($B$1/1000000)/($B$3/100))*10000000/($C30*6.022E+23*1.6022E-19)</f>
        <v>0.19617886730074424</v>
      </c>
      <c r="AK30" s="13">
        <f t="shared" ref="AK30:AK36" si="29">$B$5*$B30*Y30*(($B$1/1000000)/($B$3/100))*10000000/($C30*6.022E+23*1.6022E-19)</f>
        <v>0.28772900537442486</v>
      </c>
      <c r="AL30" s="13">
        <f t="shared" ref="AL30:AL36" si="30">$B$5*$B30*Z30*(($B$1/1000000)/($B$3/100))*10000000/($C30*6.022E+23*1.6022E-19)</f>
        <v>0.34658266556464817</v>
      </c>
      <c r="AM30" s="12">
        <f t="shared" si="2"/>
        <v>0</v>
      </c>
      <c r="AN30" s="12">
        <f t="shared" si="3"/>
        <v>0</v>
      </c>
      <c r="AO30" s="12">
        <f t="shared" si="4"/>
        <v>0</v>
      </c>
      <c r="AR30" s="16">
        <f t="shared" si="5"/>
        <v>288.53145276922965</v>
      </c>
      <c r="AZ30">
        <f t="shared" si="25"/>
        <v>0.92118267915895158</v>
      </c>
      <c r="BB30">
        <v>10.6</v>
      </c>
      <c r="BC30">
        <f t="shared" si="26"/>
        <v>54.032323388584409</v>
      </c>
      <c r="BD30">
        <f t="shared" si="26"/>
        <v>38.682231516827478</v>
      </c>
      <c r="BE30">
        <f t="shared" si="26"/>
        <v>35.17198409256909</v>
      </c>
      <c r="BG30" s="23">
        <f t="shared" si="19"/>
        <v>5.8536488646115679</v>
      </c>
      <c r="BI30" s="16">
        <f t="shared" si="20"/>
        <v>1.8788293024610412</v>
      </c>
      <c r="BJ30" s="16">
        <f t="shared" si="21"/>
        <v>1.6870501549427201</v>
      </c>
    </row>
    <row r="31" spans="1:76" x14ac:dyDescent="0.25">
      <c r="A31" t="s">
        <v>3</v>
      </c>
      <c r="B31">
        <v>28.08</v>
      </c>
      <c r="C31">
        <v>2.33</v>
      </c>
      <c r="D31">
        <f t="shared" si="0"/>
        <v>12.051502145922745</v>
      </c>
      <c r="E31">
        <f t="shared" si="7"/>
        <v>4.9968874643874654E+22</v>
      </c>
      <c r="F31">
        <f t="shared" si="8"/>
        <v>1356645501743687.5</v>
      </c>
      <c r="G31">
        <f t="shared" si="9"/>
        <v>2.0012457897580112E-2</v>
      </c>
      <c r="H31">
        <v>0.14599999999999999</v>
      </c>
      <c r="I31" s="30">
        <f t="shared" si="17"/>
        <v>1.3036084792763096E-2</v>
      </c>
      <c r="J31" s="30">
        <f t="shared" si="10"/>
        <v>0.1684239857273486</v>
      </c>
      <c r="K31" s="30">
        <f t="shared" si="11"/>
        <v>0.65139848685649993</v>
      </c>
      <c r="L31">
        <v>1687</v>
      </c>
      <c r="M31">
        <v>50.2</v>
      </c>
      <c r="N31">
        <v>456</v>
      </c>
      <c r="O31">
        <v>133.6</v>
      </c>
      <c r="P31">
        <v>1.9</v>
      </c>
      <c r="Q31">
        <v>0.28000000000000003</v>
      </c>
      <c r="R31">
        <v>11</v>
      </c>
      <c r="S31">
        <v>7</v>
      </c>
      <c r="T31" s="5">
        <v>0.5</v>
      </c>
      <c r="U31">
        <f t="shared" si="12"/>
        <v>9.0836653386454174</v>
      </c>
      <c r="V31" s="5">
        <v>0.18</v>
      </c>
      <c r="W31" s="5">
        <v>0.42</v>
      </c>
      <c r="X31" s="5">
        <v>0.7</v>
      </c>
      <c r="Y31" s="5">
        <v>1</v>
      </c>
      <c r="Z31" s="6">
        <v>1.2</v>
      </c>
      <c r="AA31" s="5">
        <f>(Y31+AB31)/2</f>
        <v>1.2</v>
      </c>
      <c r="AB31" s="5">
        <v>1.4</v>
      </c>
      <c r="AC31" s="5">
        <v>1.5</v>
      </c>
      <c r="AD31">
        <f t="shared" si="13"/>
        <v>16.87</v>
      </c>
      <c r="AF31" s="2">
        <f t="shared" si="14"/>
        <v>2.8884539313540139E-2</v>
      </c>
      <c r="AG31" s="2">
        <f t="shared" si="15"/>
        <v>2.7869098712446354E-2</v>
      </c>
      <c r="AH31" s="13">
        <f t="shared" si="16"/>
        <v>3.1195302458623352E-2</v>
      </c>
      <c r="AI31" s="13">
        <f t="shared" si="27"/>
        <v>7.2789039070121145E-2</v>
      </c>
      <c r="AJ31" s="13">
        <f t="shared" si="28"/>
        <v>0.12131506511686857</v>
      </c>
      <c r="AK31" s="13">
        <f t="shared" si="29"/>
        <v>0.17330723588124083</v>
      </c>
      <c r="AL31" s="13">
        <f t="shared" si="30"/>
        <v>0.20796868305748897</v>
      </c>
      <c r="AM31" s="8">
        <f t="shared" si="2"/>
        <v>0.20796868305748897</v>
      </c>
      <c r="AN31" s="8">
        <f t="shared" si="3"/>
        <v>0.24263013023373714</v>
      </c>
      <c r="AO31" s="8">
        <f t="shared" si="4"/>
        <v>0.25996085382186124</v>
      </c>
      <c r="AR31" s="16">
        <f t="shared" si="5"/>
        <v>480.84162735384973</v>
      </c>
      <c r="AZ31">
        <f t="shared" si="25"/>
        <v>1.0604073271066039</v>
      </c>
      <c r="BG31" s="23">
        <f t="shared" si="19"/>
        <v>4.1760684363708016</v>
      </c>
      <c r="BI31" s="16">
        <f t="shared" si="20"/>
        <v>1.73630213800013</v>
      </c>
      <c r="BJ31" s="16">
        <f t="shared" si="21"/>
        <v>1.5445229904818092</v>
      </c>
      <c r="BN31">
        <v>2.9</v>
      </c>
      <c r="BO31">
        <f>1/BN31</f>
        <v>0.34482758620689657</v>
      </c>
    </row>
    <row r="32" spans="1:76" x14ac:dyDescent="0.25">
      <c r="A32" t="s">
        <v>4</v>
      </c>
      <c r="B32">
        <v>60.08</v>
      </c>
      <c r="C32">
        <v>2.2000000000000002</v>
      </c>
      <c r="D32">
        <f t="shared" si="0"/>
        <v>27.309090909090905</v>
      </c>
      <c r="E32">
        <f t="shared" si="7"/>
        <v>2.2051264980026634E+22</v>
      </c>
      <c r="F32">
        <f t="shared" si="8"/>
        <v>786361674256088.75</v>
      </c>
      <c r="G32">
        <f t="shared" si="9"/>
        <v>4.5348872316657102E-2</v>
      </c>
      <c r="I32" s="30">
        <f t="shared" si="17"/>
        <v>0</v>
      </c>
      <c r="J32" s="30">
        <f t="shared" si="10"/>
        <v>0.22122080120623069</v>
      </c>
      <c r="K32" s="30">
        <f t="shared" si="11"/>
        <v>0</v>
      </c>
      <c r="L32">
        <v>1980</v>
      </c>
      <c r="M32" s="50">
        <f>3.4*4.185</f>
        <v>14.228999999999997</v>
      </c>
      <c r="N32" s="50"/>
      <c r="O32" s="50">
        <f>0.9*6.02E+23/(1000*6250000000000000000)</f>
        <v>86.688000000000002</v>
      </c>
      <c r="P32" s="50">
        <f>(1.9+2*3.44)/3</f>
        <v>2.9266666666666663</v>
      </c>
      <c r="Q32">
        <v>0.17</v>
      </c>
      <c r="R32">
        <v>5</v>
      </c>
      <c r="S32">
        <v>7</v>
      </c>
      <c r="T32" s="5">
        <v>0.28000000000000003</v>
      </c>
      <c r="U32">
        <f t="shared" si="12"/>
        <v>0</v>
      </c>
      <c r="V32" s="7">
        <f t="shared" ref="V32:AC32" si="31">(V$31/$T$31)*$T32</f>
        <v>0.1008</v>
      </c>
      <c r="W32" s="7">
        <f t="shared" si="31"/>
        <v>0.23520000000000002</v>
      </c>
      <c r="X32" s="7">
        <f t="shared" si="31"/>
        <v>0.39200000000000002</v>
      </c>
      <c r="Y32" s="7">
        <f t="shared" si="31"/>
        <v>0.56000000000000005</v>
      </c>
      <c r="Z32" s="7">
        <f t="shared" si="31"/>
        <v>0.67200000000000004</v>
      </c>
      <c r="AA32" s="7">
        <f t="shared" si="31"/>
        <v>0.67200000000000004</v>
      </c>
      <c r="AB32" s="7">
        <f t="shared" si="31"/>
        <v>0.78400000000000003</v>
      </c>
      <c r="AC32" s="7">
        <f t="shared" si="31"/>
        <v>0.84000000000000008</v>
      </c>
      <c r="AD32">
        <f t="shared" si="13"/>
        <v>19.8</v>
      </c>
      <c r="AF32" s="2">
        <f t="shared" si="14"/>
        <v>3.6653844495113559E-2</v>
      </c>
      <c r="AG32" s="2">
        <f t="shared" si="15"/>
        <v>3.5365272727272731E-2</v>
      </c>
      <c r="AH32" s="13">
        <f t="shared" si="16"/>
        <v>3.9586152054722643E-2</v>
      </c>
      <c r="AI32" s="13">
        <f t="shared" si="27"/>
        <v>9.2367688127686198E-2</v>
      </c>
      <c r="AJ32" s="13">
        <f t="shared" si="28"/>
        <v>0.15394614687947694</v>
      </c>
      <c r="AK32" s="13">
        <f t="shared" si="29"/>
        <v>0.21992306697068137</v>
      </c>
      <c r="AL32" s="13">
        <f t="shared" si="30"/>
        <v>0.26390768036481765</v>
      </c>
      <c r="AM32" s="8">
        <f t="shared" si="2"/>
        <v>0.26390768036481765</v>
      </c>
      <c r="AN32" s="8">
        <f t="shared" si="3"/>
        <v>0.30789229375895388</v>
      </c>
      <c r="AO32" s="8">
        <f t="shared" si="4"/>
        <v>0.32988460045602208</v>
      </c>
      <c r="AR32" s="16">
        <f t="shared" si="5"/>
        <v>378.92038557484631</v>
      </c>
      <c r="BG32" s="23" t="e">
        <f t="shared" si="19"/>
        <v>#DIV/0!</v>
      </c>
      <c r="BI32" s="16" t="e">
        <f t="shared" si="20"/>
        <v>#DIV/0!</v>
      </c>
      <c r="BJ32" s="16" t="e">
        <f t="shared" si="21"/>
        <v>#DIV/0!</v>
      </c>
      <c r="BN32">
        <v>2.2000000000000002</v>
      </c>
      <c r="BO32">
        <f>1/BN32</f>
        <v>0.45454545454545453</v>
      </c>
    </row>
    <row r="33" spans="1:67" x14ac:dyDescent="0.25">
      <c r="A33" t="s">
        <v>40</v>
      </c>
      <c r="B33">
        <v>180.95</v>
      </c>
      <c r="C33">
        <v>16.649999999999999</v>
      </c>
      <c r="D33">
        <f t="shared" si="0"/>
        <v>10.867867867867869</v>
      </c>
      <c r="E33">
        <f t="shared" si="7"/>
        <v>5.5411052777010222E+22</v>
      </c>
      <c r="F33">
        <f t="shared" si="8"/>
        <v>1453441649394449.7</v>
      </c>
      <c r="G33">
        <f t="shared" si="9"/>
        <v>1.8046940996127313E-2</v>
      </c>
      <c r="H33">
        <v>0.20899999999999999</v>
      </c>
      <c r="I33" s="30">
        <f t="shared" si="17"/>
        <v>3.824084389147233E-2</v>
      </c>
      <c r="J33" s="30">
        <f t="shared" si="10"/>
        <v>0.16271902364388433</v>
      </c>
      <c r="K33" s="30">
        <f t="shared" si="11"/>
        <v>2.1189654191077825</v>
      </c>
      <c r="L33">
        <v>3290</v>
      </c>
      <c r="M33">
        <v>36</v>
      </c>
      <c r="N33">
        <v>782</v>
      </c>
      <c r="O33">
        <v>31.1</v>
      </c>
      <c r="P33">
        <v>1.5</v>
      </c>
      <c r="U33">
        <f t="shared" si="12"/>
        <v>21.722222222222221</v>
      </c>
      <c r="V33" s="5">
        <v>0.18</v>
      </c>
      <c r="W33" s="5">
        <v>0.45</v>
      </c>
      <c r="X33" s="5">
        <v>0.7</v>
      </c>
      <c r="Y33" s="5">
        <v>1.05</v>
      </c>
      <c r="Z33" s="5">
        <v>1.2</v>
      </c>
      <c r="AB33" s="5">
        <v>1.5</v>
      </c>
      <c r="AD33">
        <f t="shared" si="13"/>
        <v>32.9</v>
      </c>
      <c r="AF33" s="2">
        <f t="shared" si="14"/>
        <v>0</v>
      </c>
      <c r="AG33" s="2">
        <f t="shared" si="15"/>
        <v>0</v>
      </c>
      <c r="AH33" s="13">
        <f t="shared" si="16"/>
        <v>2.8131466195124182E-2</v>
      </c>
      <c r="AI33" s="13">
        <f t="shared" si="27"/>
        <v>7.0328665487810457E-2</v>
      </c>
      <c r="AJ33" s="13">
        <f t="shared" si="28"/>
        <v>0.1094001463143718</v>
      </c>
      <c r="AK33" s="13">
        <f t="shared" si="29"/>
        <v>0.16410021947155773</v>
      </c>
      <c r="AL33" s="13">
        <f t="shared" si="30"/>
        <v>0.18754310796749454</v>
      </c>
      <c r="AM33" s="12">
        <f t="shared" si="2"/>
        <v>0</v>
      </c>
      <c r="AN33" s="12">
        <f t="shared" si="3"/>
        <v>0.23442888495936817</v>
      </c>
      <c r="AO33" s="12">
        <f t="shared" si="4"/>
        <v>0</v>
      </c>
      <c r="AR33" s="16">
        <f t="shared" si="5"/>
        <v>533.21074329925398</v>
      </c>
      <c r="AZ33">
        <f>538*J33/AZ$12^2 + 0.41*J33*SQRT(J33*AZ$12)</f>
        <v>1.0069887821917227</v>
      </c>
      <c r="BB33">
        <v>4</v>
      </c>
      <c r="BC33">
        <f t="shared" ref="BC33:BE34" si="32">$BB33*BC$16/AJ33</f>
        <v>36.563022397663133</v>
      </c>
      <c r="BD33">
        <f t="shared" si="32"/>
        <v>25.59411567836419</v>
      </c>
      <c r="BE33">
        <f t="shared" si="32"/>
        <v>24.527694191765679</v>
      </c>
      <c r="BG33" s="23">
        <f t="shared" si="19"/>
        <v>4.7117378290427956</v>
      </c>
      <c r="BI33" s="16">
        <f t="shared" si="20"/>
        <v>1.7863280139078657</v>
      </c>
      <c r="BJ33" s="16">
        <f t="shared" si="21"/>
        <v>1.5945488663895449</v>
      </c>
    </row>
    <row r="34" spans="1:67" x14ac:dyDescent="0.25">
      <c r="A34" t="s">
        <v>12</v>
      </c>
      <c r="B34">
        <v>442</v>
      </c>
      <c r="C34">
        <v>8.5399999999999991</v>
      </c>
      <c r="D34">
        <f t="shared" si="0"/>
        <v>51.75644028103045</v>
      </c>
      <c r="E34">
        <f t="shared" si="7"/>
        <v>1.1635266968325791E+22</v>
      </c>
      <c r="F34">
        <f t="shared" si="8"/>
        <v>513472948402748.12</v>
      </c>
      <c r="G34">
        <f t="shared" si="9"/>
        <v>8.5945599935288025E-2</v>
      </c>
      <c r="I34" s="30">
        <f t="shared" si="17"/>
        <v>0</v>
      </c>
      <c r="J34" s="30">
        <f t="shared" si="10"/>
        <v>0.2737652659559402</v>
      </c>
      <c r="K34" s="30">
        <f t="shared" si="11"/>
        <v>0</v>
      </c>
      <c r="L34">
        <v>2150</v>
      </c>
      <c r="M34" s="50"/>
      <c r="N34" s="50"/>
      <c r="O34" s="50"/>
      <c r="P34" s="50">
        <f>(2*1.5+5*3.44)/7</f>
        <v>2.8857142857142857</v>
      </c>
      <c r="T34" s="5">
        <v>0.35</v>
      </c>
      <c r="U34" t="e">
        <f t="shared" si="12"/>
        <v>#DIV/0!</v>
      </c>
      <c r="V34" s="7">
        <f t="shared" ref="V34:AC34" si="33">(V$31/$T$31)*$T34</f>
        <v>0.126</v>
      </c>
      <c r="W34" s="7">
        <f t="shared" si="33"/>
        <v>0.29399999999999998</v>
      </c>
      <c r="X34" s="7">
        <f t="shared" si="33"/>
        <v>0.48999999999999994</v>
      </c>
      <c r="Y34" s="7">
        <f t="shared" si="33"/>
        <v>0.7</v>
      </c>
      <c r="Z34" s="7">
        <f t="shared" si="33"/>
        <v>0.84</v>
      </c>
      <c r="AA34" s="7">
        <f t="shared" si="33"/>
        <v>0.84</v>
      </c>
      <c r="AB34" s="7">
        <f t="shared" si="33"/>
        <v>0.97999999999999987</v>
      </c>
      <c r="AC34" s="7">
        <f t="shared" si="33"/>
        <v>1.0499999999999998</v>
      </c>
      <c r="AD34">
        <f t="shared" si="13"/>
        <v>21.5</v>
      </c>
      <c r="AF34" s="2">
        <f t="shared" si="14"/>
        <v>8.6833379038351949E-2</v>
      </c>
      <c r="AG34" s="2">
        <f t="shared" si="15"/>
        <v>8.3780737704918049E-2</v>
      </c>
      <c r="AH34" s="13">
        <f>$B$5*$B34*V34*(($B$1/1000000)/($B$3/100))*10000000/($C34*6.022E+23*1.6022E-19)</f>
        <v>9.3780049361420093E-2</v>
      </c>
      <c r="AI34" s="13">
        <f t="shared" si="27"/>
        <v>0.2188201151766469</v>
      </c>
      <c r="AJ34" s="13">
        <f t="shared" si="28"/>
        <v>0.36470019196107811</v>
      </c>
      <c r="AK34" s="13">
        <f t="shared" si="29"/>
        <v>0.52100027423011164</v>
      </c>
      <c r="AL34" s="13">
        <f t="shared" si="30"/>
        <v>0.62520032907613399</v>
      </c>
      <c r="AM34" s="8">
        <f t="shared" si="2"/>
        <v>0.62520032907613399</v>
      </c>
      <c r="AN34" s="8">
        <f t="shared" si="3"/>
        <v>0.72940038392215623</v>
      </c>
      <c r="AO34" s="8">
        <f t="shared" si="4"/>
        <v>0.78150041134516735</v>
      </c>
      <c r="AR34" s="16">
        <f t="shared" si="5"/>
        <v>159.94873218920279</v>
      </c>
      <c r="BB34">
        <v>5</v>
      </c>
      <c r="BC34">
        <f t="shared" si="32"/>
        <v>13.709891330503098</v>
      </c>
      <c r="BD34">
        <f t="shared" si="32"/>
        <v>10.076770127919776</v>
      </c>
      <c r="BE34">
        <f t="shared" si="32"/>
        <v>9.1970521008791604</v>
      </c>
      <c r="BG34" s="23" t="e">
        <f t="shared" si="19"/>
        <v>#DIV/0!</v>
      </c>
      <c r="BI34" s="16" t="e">
        <f t="shared" si="20"/>
        <v>#DIV/0!</v>
      </c>
      <c r="BJ34" s="16" t="e">
        <f t="shared" si="21"/>
        <v>#DIV/0!</v>
      </c>
    </row>
    <row r="35" spans="1:67" x14ac:dyDescent="0.25">
      <c r="A35" t="s">
        <v>7</v>
      </c>
      <c r="B35">
        <v>47.88</v>
      </c>
      <c r="C35">
        <v>4.54</v>
      </c>
      <c r="D35">
        <f t="shared" si="0"/>
        <v>10.546255506607929</v>
      </c>
      <c r="E35">
        <f t="shared" si="7"/>
        <v>5.7100835421888058E+22</v>
      </c>
      <c r="F35">
        <f t="shared" si="8"/>
        <v>1482842329085868.2</v>
      </c>
      <c r="G35">
        <f t="shared" si="9"/>
        <v>1.751287862272987E-2</v>
      </c>
      <c r="H35">
        <v>0.2</v>
      </c>
      <c r="I35" s="30">
        <f t="shared" si="17"/>
        <v>3.3510321638291131E-2</v>
      </c>
      <c r="J35" s="30">
        <f t="shared" si="10"/>
        <v>0.16109781231365622</v>
      </c>
      <c r="K35" s="30">
        <f t="shared" si="11"/>
        <v>1.9134673608025963</v>
      </c>
      <c r="L35">
        <v>1941</v>
      </c>
      <c r="M35">
        <v>18.7</v>
      </c>
      <c r="N35">
        <v>471</v>
      </c>
      <c r="O35">
        <v>7.6</v>
      </c>
      <c r="P35">
        <v>1.54</v>
      </c>
      <c r="U35">
        <f t="shared" si="12"/>
        <v>25.18716577540107</v>
      </c>
      <c r="V35" s="5">
        <v>0.21</v>
      </c>
      <c r="W35" s="5">
        <v>0.47</v>
      </c>
      <c r="X35" s="5">
        <v>0.73</v>
      </c>
      <c r="Y35" s="5">
        <v>1.05</v>
      </c>
      <c r="Z35" s="6">
        <f>SQRT(Y35*AB35)</f>
        <v>1.2549900398011133</v>
      </c>
      <c r="AA35" s="5">
        <f>(Y35+AB35)/2</f>
        <v>1.2749999999999999</v>
      </c>
      <c r="AB35" s="5">
        <v>1.5</v>
      </c>
      <c r="AC35" s="5">
        <v>1.8</v>
      </c>
      <c r="AD35">
        <f t="shared" si="13"/>
        <v>19.41</v>
      </c>
      <c r="AF35" s="2">
        <f t="shared" si="14"/>
        <v>0</v>
      </c>
      <c r="AG35" s="2">
        <f t="shared" si="15"/>
        <v>0</v>
      </c>
      <c r="AH35" s="13">
        <f t="shared" si="16"/>
        <v>3.1848801702021694E-2</v>
      </c>
      <c r="AI35" s="13">
        <f t="shared" si="27"/>
        <v>7.1280651428334271E-2</v>
      </c>
      <c r="AJ35" s="13">
        <f t="shared" si="28"/>
        <v>0.11071250115464686</v>
      </c>
      <c r="AK35" s="13">
        <f t="shared" si="29"/>
        <v>0.15924400851010853</v>
      </c>
      <c r="AL35" s="13">
        <f t="shared" si="30"/>
        <v>0.19033299483637131</v>
      </c>
      <c r="AM35" s="8">
        <f t="shared" si="2"/>
        <v>0.19336772461941748</v>
      </c>
      <c r="AN35" s="8">
        <f t="shared" si="3"/>
        <v>0.22749144072872649</v>
      </c>
      <c r="AO35" s="8">
        <f t="shared" si="4"/>
        <v>0.2729897288744717</v>
      </c>
      <c r="AR35" s="16">
        <f t="shared" si="5"/>
        <v>525.39497991911333</v>
      </c>
      <c r="AZ35">
        <f>538*J35/AZ$12^2 + 0.41*J35*SQRT(J35*AZ$12)</f>
        <v>0.99197721966846431</v>
      </c>
      <c r="BG35" s="23">
        <f t="shared" si="19"/>
        <v>4.8833960661742717</v>
      </c>
      <c r="BI35" s="16">
        <f t="shared" si="20"/>
        <v>1.8013559579060332</v>
      </c>
      <c r="BJ35" s="16">
        <f t="shared" si="21"/>
        <v>1.6095768103877122</v>
      </c>
    </row>
    <row r="36" spans="1:67" x14ac:dyDescent="0.25">
      <c r="A36" t="s">
        <v>11</v>
      </c>
      <c r="B36">
        <v>183.8</v>
      </c>
      <c r="C36">
        <v>19.3</v>
      </c>
      <c r="D36">
        <f t="shared" si="0"/>
        <v>9.5233160621761659</v>
      </c>
      <c r="E36">
        <f t="shared" si="7"/>
        <v>6.3234276387377583E+22</v>
      </c>
      <c r="F36">
        <f t="shared" si="8"/>
        <v>1587212355048959</v>
      </c>
      <c r="G36">
        <f t="shared" si="9"/>
        <v>1.5814208007599081E-2</v>
      </c>
      <c r="H36">
        <v>0.20200000000000001</v>
      </c>
      <c r="I36" s="30">
        <f t="shared" si="17"/>
        <v>3.4525717894252995E-2</v>
      </c>
      <c r="J36" s="30">
        <f t="shared" si="10"/>
        <v>0.15571111426725606</v>
      </c>
      <c r="K36" s="30">
        <f t="shared" si="11"/>
        <v>2.1832087877978217</v>
      </c>
      <c r="L36">
        <v>3695</v>
      </c>
      <c r="M36">
        <v>35</v>
      </c>
      <c r="N36">
        <v>860</v>
      </c>
      <c r="O36">
        <v>78.599999999999994</v>
      </c>
      <c r="P36">
        <v>2.36</v>
      </c>
      <c r="U36">
        <f t="shared" si="12"/>
        <v>24.571428571428573</v>
      </c>
      <c r="V36" s="5">
        <v>0.21</v>
      </c>
      <c r="W36" s="5">
        <v>0.55000000000000004</v>
      </c>
      <c r="X36" s="5">
        <v>0.9</v>
      </c>
      <c r="Y36" s="5">
        <v>1.25</v>
      </c>
      <c r="Z36" s="6">
        <v>1.5</v>
      </c>
      <c r="AA36" s="5">
        <f>(Y36+AB36)/2</f>
        <v>1.5</v>
      </c>
      <c r="AB36" s="5">
        <v>1.75</v>
      </c>
      <c r="AC36" s="5">
        <v>2.5</v>
      </c>
      <c r="AD36">
        <f t="shared" si="13"/>
        <v>36.950000000000003</v>
      </c>
      <c r="AF36" s="2">
        <f t="shared" si="14"/>
        <v>0</v>
      </c>
      <c r="AG36" s="2">
        <f t="shared" si="15"/>
        <v>0</v>
      </c>
      <c r="AH36" s="13">
        <f t="shared" si="16"/>
        <v>2.8759610898852712E-2</v>
      </c>
      <c r="AI36" s="13">
        <f t="shared" si="27"/>
        <v>7.5322790449376162E-2</v>
      </c>
      <c r="AJ36" s="13">
        <f t="shared" si="28"/>
        <v>0.12325547528079736</v>
      </c>
      <c r="AK36" s="13">
        <f t="shared" si="29"/>
        <v>0.17118816011221855</v>
      </c>
      <c r="AL36" s="13">
        <f t="shared" si="30"/>
        <v>0.20542579213466225</v>
      </c>
      <c r="AM36" s="8">
        <f t="shared" si="2"/>
        <v>0.20542579213466225</v>
      </c>
      <c r="AN36" s="8">
        <f t="shared" si="3"/>
        <v>0.23966342415710595</v>
      </c>
      <c r="AO36" s="8">
        <f t="shared" si="4"/>
        <v>0.34237632022443709</v>
      </c>
      <c r="AR36" s="16">
        <f t="shared" si="5"/>
        <v>486.79379040411465</v>
      </c>
      <c r="AZ36">
        <f>538*J36/AZ$12^2 + 0.41*J36*SQRT(J36*AZ$12)</f>
        <v>0.94264243273229797</v>
      </c>
      <c r="BG36" s="23">
        <f t="shared" si="19"/>
        <v>5.5280316282029762</v>
      </c>
      <c r="BI36" s="16">
        <f t="shared" si="20"/>
        <v>1.8541159318718989</v>
      </c>
      <c r="BJ36" s="16">
        <f t="shared" si="21"/>
        <v>1.6623367843535779</v>
      </c>
      <c r="BN36">
        <v>1.3</v>
      </c>
      <c r="BO36">
        <f>1/BN36</f>
        <v>0.76923076923076916</v>
      </c>
    </row>
    <row r="37" spans="1:67" x14ac:dyDescent="0.25">
      <c r="AH37" s="13"/>
      <c r="AI37" s="13"/>
      <c r="AJ37" s="13"/>
      <c r="AK37" s="13"/>
      <c r="AL37" s="13"/>
    </row>
    <row r="38" spans="1:67" x14ac:dyDescent="0.25">
      <c r="A38" t="s">
        <v>89</v>
      </c>
      <c r="BN38">
        <v>6.3</v>
      </c>
      <c r="BO38">
        <f>1/BN38</f>
        <v>0.15873015873015872</v>
      </c>
    </row>
    <row r="39" spans="1:67" x14ac:dyDescent="0.25">
      <c r="A39" t="s">
        <v>90</v>
      </c>
      <c r="B39">
        <v>58.45</v>
      </c>
      <c r="C39">
        <v>2.17</v>
      </c>
      <c r="L39">
        <v>1070</v>
      </c>
      <c r="BI39">
        <f>EXP(BJ36*BH10)</f>
        <v>5.2716150903244223</v>
      </c>
      <c r="BN39">
        <v>3.8</v>
      </c>
      <c r="BO39">
        <f>1/BN39</f>
        <v>0.26315789473684209</v>
      </c>
    </row>
    <row r="40" spans="1:67" x14ac:dyDescent="0.25">
      <c r="A40" t="s">
        <v>91</v>
      </c>
      <c r="BN40">
        <v>4.2</v>
      </c>
      <c r="BO40">
        <f>1/BN40</f>
        <v>0.23809523809523808</v>
      </c>
    </row>
    <row r="41" spans="1:67" x14ac:dyDescent="0.25">
      <c r="A41" t="s">
        <v>120</v>
      </c>
      <c r="B41">
        <v>79.900000000000006</v>
      </c>
      <c r="C41">
        <v>4.25</v>
      </c>
      <c r="L41">
        <v>2090</v>
      </c>
      <c r="R41">
        <v>8.7899999999999991</v>
      </c>
      <c r="BC41">
        <f>SUM(BC19:BC38)</f>
        <v>333.28531587764007</v>
      </c>
      <c r="BD41">
        <f>SUM(BD19:BD38)</f>
        <v>242.18609475230849</v>
      </c>
      <c r="BE41">
        <f>SUM(BE19:BE38)</f>
        <v>221.51201828129155</v>
      </c>
    </row>
    <row r="42" spans="1:67" x14ac:dyDescent="0.25">
      <c r="BA42" t="s">
        <v>56</v>
      </c>
      <c r="BD42" t="s">
        <v>59</v>
      </c>
    </row>
    <row r="43" spans="1:67" x14ac:dyDescent="0.25">
      <c r="A43" t="s">
        <v>0</v>
      </c>
      <c r="J43">
        <v>1.75</v>
      </c>
      <c r="K43">
        <v>2.5</v>
      </c>
      <c r="L43">
        <f>J$43*POWER(L14/1000,K$43)</f>
        <v>2.9662342325468196</v>
      </c>
      <c r="P43">
        <f>L43/R43</f>
        <v>2.9662342325468196</v>
      </c>
      <c r="R43" s="36">
        <f>S43/MIN(S$43:S$65)</f>
        <v>1</v>
      </c>
      <c r="S43" s="1">
        <v>0.45</v>
      </c>
      <c r="T43">
        <v>0.95</v>
      </c>
      <c r="U43">
        <v>0.5</v>
      </c>
      <c r="V43" s="30">
        <f>$Q$2*SQRT(V$10)*POWER($O14/100,$U$2)*POWER($P14,$V$2)/(POWER($L14/100,$R$2)*POWER($M14,$S$2))</f>
        <v>1.1305822397145051</v>
      </c>
      <c r="W43" s="30">
        <f t="shared" ref="W43:AC43" si="34">$Q$2*SQRT(W$10)*POWER($O14/100,$U$2)*POWER($P14,$V$2)/(POWER($L14/100,$R$2)*POWER($M14,$S$2))</f>
        <v>1.7876074798161552</v>
      </c>
      <c r="X43" s="30">
        <f t="shared" si="34"/>
        <v>2.5280587421555962</v>
      </c>
      <c r="Y43" s="30">
        <f t="shared" si="34"/>
        <v>3.5752149596323104</v>
      </c>
      <c r="Z43" s="30">
        <f t="shared" si="34"/>
        <v>4.4955948085441948</v>
      </c>
      <c r="AA43" s="30">
        <f t="shared" si="34"/>
        <v>4.7295648333924625</v>
      </c>
      <c r="AB43" s="30">
        <f t="shared" si="34"/>
        <v>5.652911198572526</v>
      </c>
      <c r="AC43" s="30">
        <f t="shared" si="34"/>
        <v>7.9944236839120135</v>
      </c>
      <c r="AE43">
        <v>6</v>
      </c>
      <c r="AH43" s="36">
        <f t="shared" ref="AH43:AL50" si="35">100*(V43-V14)/V14</f>
        <v>-5.7848133571245706</v>
      </c>
      <c r="AI43" s="36">
        <f t="shared" si="35"/>
        <v>-25.516355007660195</v>
      </c>
      <c r="AJ43" s="36">
        <f t="shared" si="35"/>
        <v>-27.769750224125822</v>
      </c>
      <c r="AK43" s="36">
        <f t="shared" si="35"/>
        <v>-28.495700807353792</v>
      </c>
      <c r="AL43" s="36">
        <f t="shared" si="35"/>
        <v>-25.07341985759675</v>
      </c>
      <c r="AM43" s="36">
        <f t="shared" ref="AM43:AM65" si="36">100*(AA43-AA14)/AA14</f>
        <v>-27.237464101654425</v>
      </c>
      <c r="AN43" s="36">
        <f t="shared" ref="AN43:AN65" si="37">100*(AB43-AB14)/AB14</f>
        <v>-29.338610017843425</v>
      </c>
      <c r="AO43" s="36">
        <f>AVERAGE(AI43:AL43)</f>
        <v>-26.713806474184139</v>
      </c>
      <c r="AP43" s="36">
        <f>ABS(AVERAGE(AI43:AL43))</f>
        <v>26.713806474184139</v>
      </c>
      <c r="BA43" t="s">
        <v>58</v>
      </c>
      <c r="BB43" t="s">
        <v>57</v>
      </c>
      <c r="BC43" t="s">
        <v>58</v>
      </c>
      <c r="BD43" t="s">
        <v>57</v>
      </c>
      <c r="BE43" t="s">
        <v>67</v>
      </c>
    </row>
    <row r="44" spans="1:67" x14ac:dyDescent="0.25">
      <c r="A44" t="s">
        <v>2</v>
      </c>
      <c r="L44">
        <f t="shared" ref="L44:L65" si="38">J$43*POWER(L15/1000,K$43)</f>
        <v>1.4596388700569916</v>
      </c>
      <c r="P44">
        <f t="shared" ref="P44:P65" si="39">L44/R44</f>
        <v>1.4596388700569916</v>
      </c>
      <c r="R44" s="36">
        <f t="shared" ref="R44:R65" si="40">S44/MIN(S$43:S$65)</f>
        <v>1</v>
      </c>
      <c r="S44" s="1">
        <v>0.45</v>
      </c>
      <c r="V44" s="30">
        <f t="shared" ref="V44:AC44" si="41">$Q$2*SQRT(V$10)*POWER($O15/100,$U$2)*POWER($P15,$V$2)/(POWER($L15/100,$R$2)*POWER($M15,$S$2))</f>
        <v>0.93799099867855706</v>
      </c>
      <c r="W44" s="30">
        <f t="shared" si="41"/>
        <v>1.4830939902801141</v>
      </c>
      <c r="X44" s="30">
        <f t="shared" si="41"/>
        <v>2.0974116353281689</v>
      </c>
      <c r="Y44" s="30">
        <f t="shared" si="41"/>
        <v>2.9661879805602283</v>
      </c>
      <c r="Z44" s="30">
        <f t="shared" si="41"/>
        <v>3.7297839254801484</v>
      </c>
      <c r="AA44" s="30">
        <f t="shared" si="41"/>
        <v>3.9238978692156268</v>
      </c>
      <c r="AB44" s="30">
        <f t="shared" si="41"/>
        <v>4.6899549933927842</v>
      </c>
      <c r="AC44" s="30">
        <f t="shared" si="41"/>
        <v>6.6325979585754959</v>
      </c>
      <c r="AE44">
        <v>1</v>
      </c>
      <c r="AH44" s="36">
        <f t="shared" si="35"/>
        <v>184.23969656925971</v>
      </c>
      <c r="AI44" s="36">
        <f t="shared" si="35"/>
        <v>56.115156871590969</v>
      </c>
      <c r="AJ44" s="36">
        <f t="shared" si="35"/>
        <v>49.815116809154929</v>
      </c>
      <c r="AK44" s="36">
        <f t="shared" si="35"/>
        <v>48.309399028011413</v>
      </c>
      <c r="AL44" s="36">
        <f t="shared" si="35"/>
        <v>62.164518499136896</v>
      </c>
      <c r="AM44" s="36">
        <f t="shared" si="36"/>
        <v>53.878347812377527</v>
      </c>
      <c r="AN44" s="36">
        <f t="shared" si="37"/>
        <v>51.288870754605938</v>
      </c>
      <c r="AO44" s="36">
        <f t="shared" ref="AO44:AO65" si="42">AVERAGE(AI44:AL44)</f>
        <v>54.101047801973557</v>
      </c>
      <c r="AP44" s="36">
        <f t="shared" ref="AP44:AP65" si="43">ABS(AVERAGE(AI44:AL44))</f>
        <v>54.101047801973557</v>
      </c>
      <c r="AZ44" t="s">
        <v>68</v>
      </c>
      <c r="BA44">
        <v>922</v>
      </c>
      <c r="BB44">
        <v>1930</v>
      </c>
      <c r="BC44">
        <f>BA44/1.74</f>
        <v>529.88505747126442</v>
      </c>
      <c r="BD44">
        <f>BB44/1.74</f>
        <v>1109.1954022988505</v>
      </c>
      <c r="BE44">
        <f>1.3*AVERAGE(BC44:BD44)*0.0000001</f>
        <v>1.0654022988505746E-4</v>
      </c>
      <c r="BF44">
        <f t="shared" ref="BF44:BF49" si="44">1/BE44</f>
        <v>9386.1257956629634</v>
      </c>
      <c r="BG44" s="22">
        <v>1303</v>
      </c>
      <c r="BH44">
        <f t="shared" ref="BH44:BH49" si="45">1486.68-BG44</f>
        <v>183.68000000000006</v>
      </c>
    </row>
    <row r="45" spans="1:67" x14ac:dyDescent="0.25">
      <c r="A45" t="s">
        <v>5</v>
      </c>
      <c r="I45">
        <v>3695</v>
      </c>
      <c r="L45">
        <f t="shared" si="38"/>
        <v>14.424323095920752</v>
      </c>
      <c r="P45">
        <f t="shared" si="39"/>
        <v>14.424323095920752</v>
      </c>
      <c r="R45" s="36">
        <f t="shared" si="40"/>
        <v>1</v>
      </c>
      <c r="S45" s="1">
        <v>0.45</v>
      </c>
      <c r="V45" s="30">
        <f t="shared" ref="V45:AC45" si="46">$Q$2*SQRT(V$10)*POWER($O16/100,$U$2)*POWER($P16,$V$2)/(POWER($L16/100,$R$2)*POWER($M16,$S$2))</f>
        <v>0.12659549818436047</v>
      </c>
      <c r="W45" s="30">
        <f t="shared" si="46"/>
        <v>0.2001650578931449</v>
      </c>
      <c r="X45" s="30">
        <f t="shared" si="46"/>
        <v>0.28307613958568123</v>
      </c>
      <c r="Y45" s="30">
        <f t="shared" si="46"/>
        <v>0.4003301157862898</v>
      </c>
      <c r="Z45" s="30">
        <f t="shared" si="46"/>
        <v>0.50338847049852098</v>
      </c>
      <c r="AA45" s="30">
        <f t="shared" si="46"/>
        <v>0.52958696435010766</v>
      </c>
      <c r="AB45" s="30">
        <f t="shared" si="46"/>
        <v>0.63297749092180244</v>
      </c>
      <c r="AC45" s="30">
        <f t="shared" si="46"/>
        <v>0.8951653523385058</v>
      </c>
      <c r="AE45">
        <v>1.5</v>
      </c>
      <c r="AH45" s="36">
        <f t="shared" si="35"/>
        <v>251.65416162322353</v>
      </c>
      <c r="AI45" s="36">
        <f t="shared" si="35"/>
        <v>138.29173558707726</v>
      </c>
      <c r="AJ45" s="36">
        <f t="shared" si="35"/>
        <v>102.19724256120089</v>
      </c>
      <c r="AK45" s="36">
        <f t="shared" si="35"/>
        <v>100.16505789314489</v>
      </c>
      <c r="AL45" s="36">
        <f t="shared" si="35"/>
        <v>109.74519604105042</v>
      </c>
      <c r="AM45" s="36">
        <f t="shared" si="36"/>
        <v>120.66123514587819</v>
      </c>
      <c r="AN45" s="36">
        <f t="shared" si="37"/>
        <v>126.06338961492946</v>
      </c>
      <c r="AO45" s="36">
        <f t="shared" si="42"/>
        <v>112.59980802061835</v>
      </c>
      <c r="AP45" s="36">
        <f t="shared" si="43"/>
        <v>112.59980802061835</v>
      </c>
      <c r="AZ45" t="s">
        <v>2</v>
      </c>
      <c r="BA45">
        <v>1190</v>
      </c>
      <c r="BB45">
        <v>2260</v>
      </c>
      <c r="BC45">
        <f>BA45/$C15</f>
        <v>440.7407407407407</v>
      </c>
      <c r="BD45">
        <f>BB45/$C15</f>
        <v>837.03703703703695</v>
      </c>
      <c r="BE45">
        <f>AVERAGE(BC45:BD45)*0.0000001</f>
        <v>6.3888888888888882E-5</v>
      </c>
      <c r="BF45">
        <f t="shared" si="44"/>
        <v>15652.17391304348</v>
      </c>
      <c r="BG45" s="22">
        <v>74</v>
      </c>
      <c r="BH45">
        <f t="shared" si="45"/>
        <v>1412.68</v>
      </c>
    </row>
    <row r="46" spans="1:67" x14ac:dyDescent="0.25">
      <c r="A46" t="s">
        <v>1</v>
      </c>
      <c r="J46">
        <f>EXP(I45/4800)</f>
        <v>2.1593163493487157</v>
      </c>
      <c r="L46">
        <f t="shared" si="38"/>
        <v>3.6171503989452143</v>
      </c>
      <c r="P46">
        <f t="shared" si="39"/>
        <v>3.6171503989452143</v>
      </c>
      <c r="R46" s="36">
        <f t="shared" si="40"/>
        <v>1</v>
      </c>
      <c r="S46" s="1">
        <v>0.45</v>
      </c>
      <c r="V46" s="30">
        <f t="shared" ref="V46:AC46" si="47">$Q$2*SQRT(V$10)*POWER($O17/100,$U$2)*POWER($P17,$V$2)/(POWER($L17/100,$R$2)*POWER($M17,$S$2))</f>
        <v>1.3851471848666925</v>
      </c>
      <c r="W46" s="30">
        <f t="shared" si="47"/>
        <v>2.1901099993745303</v>
      </c>
      <c r="X46" s="30">
        <f t="shared" si="47"/>
        <v>3.0972832642043917</v>
      </c>
      <c r="Y46" s="30">
        <f t="shared" si="47"/>
        <v>4.3802199987490607</v>
      </c>
      <c r="Z46" s="30">
        <f t="shared" si="47"/>
        <v>5.5078350557928148</v>
      </c>
      <c r="AA46" s="30">
        <f t="shared" si="47"/>
        <v>5.7944864022208327</v>
      </c>
      <c r="AB46" s="30">
        <f t="shared" si="47"/>
        <v>6.9257359243334609</v>
      </c>
      <c r="AC46" s="30">
        <f t="shared" si="47"/>
        <v>9.7944696736069439</v>
      </c>
      <c r="AE46">
        <v>5</v>
      </c>
      <c r="AH46" s="36">
        <f t="shared" si="35"/>
        <v>73.143398108336555</v>
      </c>
      <c r="AI46" s="36">
        <f t="shared" si="35"/>
        <v>46.007333291635355</v>
      </c>
      <c r="AJ46" s="36">
        <f t="shared" si="35"/>
        <v>29.053469341849656</v>
      </c>
      <c r="AK46" s="36">
        <f t="shared" si="35"/>
        <v>25.149142821401735</v>
      </c>
      <c r="AL46" s="36">
        <f t="shared" si="35"/>
        <v>31.13892989982892</v>
      </c>
      <c r="AM46" s="36">
        <f t="shared" si="36"/>
        <v>5.3542982221969577</v>
      </c>
      <c r="AN46" s="36">
        <f t="shared" si="37"/>
        <v>-7.6568543422205222</v>
      </c>
      <c r="AO46" s="36">
        <f t="shared" si="42"/>
        <v>32.837218838678915</v>
      </c>
      <c r="AP46" s="36">
        <f t="shared" si="43"/>
        <v>32.837218838678915</v>
      </c>
      <c r="AZ46" t="s">
        <v>3</v>
      </c>
      <c r="BA46">
        <v>1570</v>
      </c>
      <c r="BB46">
        <v>2780</v>
      </c>
      <c r="BC46">
        <f>BA46/$C31</f>
        <v>673.81974248927031</v>
      </c>
      <c r="BD46">
        <f>BB46/$C31</f>
        <v>1193.1330472103004</v>
      </c>
      <c r="BE46">
        <f>AVERAGE(BC46:BD46)*0.0000001</f>
        <v>9.3347639484978533E-5</v>
      </c>
      <c r="BF46">
        <f t="shared" si="44"/>
        <v>10712.643678160921</v>
      </c>
      <c r="BG46" s="22">
        <v>99.5</v>
      </c>
      <c r="BH46">
        <f t="shared" si="45"/>
        <v>1387.18</v>
      </c>
    </row>
    <row r="47" spans="1:67" x14ac:dyDescent="0.25">
      <c r="A47" t="s">
        <v>65</v>
      </c>
      <c r="L47">
        <f t="shared" si="38"/>
        <v>49.260298618664486</v>
      </c>
      <c r="P47">
        <f t="shared" si="39"/>
        <v>49.260298618664486</v>
      </c>
      <c r="R47" s="36">
        <f t="shared" si="40"/>
        <v>1</v>
      </c>
      <c r="S47" s="1">
        <v>0.45</v>
      </c>
      <c r="V47" s="30">
        <f t="shared" ref="V47:AC47" si="48">$Q$2*SQRT(V$10)*POWER($O18/100,$U$2)*POWER($P18,$V$2)/(POWER($L18/100,$R$2)*POWER($M18,$S$2))</f>
        <v>0.10818225675448173</v>
      </c>
      <c r="W47" s="30">
        <f t="shared" si="48"/>
        <v>0.17105116688064861</v>
      </c>
      <c r="X47" s="30">
        <f t="shared" si="48"/>
        <v>0.24190288006235688</v>
      </c>
      <c r="Y47" s="30">
        <f t="shared" si="48"/>
        <v>0.34210233376129723</v>
      </c>
      <c r="Z47" s="30">
        <f t="shared" si="48"/>
        <v>0.43017091084400433</v>
      </c>
      <c r="AA47" s="30">
        <f t="shared" si="48"/>
        <v>0.45255884903360422</v>
      </c>
      <c r="AB47" s="30">
        <f t="shared" si="48"/>
        <v>0.54091128377240849</v>
      </c>
      <c r="AC47" s="30">
        <f t="shared" si="48"/>
        <v>0.76496407355158214</v>
      </c>
      <c r="AE47">
        <v>10</v>
      </c>
      <c r="AH47" s="36">
        <f t="shared" si="35"/>
        <v>100.33751250829951</v>
      </c>
      <c r="AI47" s="36">
        <f t="shared" si="35"/>
        <v>35.75489434972112</v>
      </c>
      <c r="AJ47" s="36">
        <f t="shared" si="35"/>
        <v>15.191847648741378</v>
      </c>
      <c r="AK47" s="36">
        <f t="shared" si="35"/>
        <v>14.034111253765746</v>
      </c>
      <c r="AL47" s="36">
        <f t="shared" si="35"/>
        <v>19.491919678890095</v>
      </c>
      <c r="AM47" s="36">
        <f t="shared" si="36"/>
        <v>25.7107913982234</v>
      </c>
      <c r="AN47" s="36">
        <f t="shared" si="37"/>
        <v>28.788400898192503</v>
      </c>
      <c r="AO47" s="36">
        <f t="shared" si="42"/>
        <v>21.118193232779586</v>
      </c>
      <c r="AP47" s="36">
        <f t="shared" si="43"/>
        <v>21.118193232779586</v>
      </c>
      <c r="AZ47" t="s">
        <v>38</v>
      </c>
      <c r="BA47">
        <v>7400</v>
      </c>
      <c r="BB47">
        <v>1280</v>
      </c>
      <c r="BC47">
        <f>BA47/$C20</f>
        <v>1029.2072322670374</v>
      </c>
      <c r="BD47">
        <f>BB47/$C20</f>
        <v>178.02503477051459</v>
      </c>
      <c r="BE47">
        <f>AVERAGE(BC47:BD47)*0.0000001</f>
        <v>6.0361613351877595E-5</v>
      </c>
      <c r="BF47">
        <f t="shared" si="44"/>
        <v>16566.8202764977</v>
      </c>
      <c r="BG47" s="22">
        <v>574.29999999999995</v>
      </c>
      <c r="BH47">
        <f t="shared" si="45"/>
        <v>912.38000000000011</v>
      </c>
    </row>
    <row r="48" spans="1:67" x14ac:dyDescent="0.25">
      <c r="A48" t="s">
        <v>44</v>
      </c>
      <c r="L48">
        <f t="shared" si="38"/>
        <v>7.2735043076783548</v>
      </c>
      <c r="P48">
        <f t="shared" si="39"/>
        <v>7.2735043076783548</v>
      </c>
      <c r="R48" s="36">
        <f t="shared" si="40"/>
        <v>1</v>
      </c>
      <c r="S48" s="1">
        <v>0.45</v>
      </c>
      <c r="V48" s="30">
        <f t="shared" ref="V48:AC48" si="49">$Q$2*SQRT(V$10)*POWER($O19/100,$U$2)*POWER($P19,$V$2)/(POWER($L19/100,$R$2)*POWER($M19,$S$2))</f>
        <v>0.63960574864934638</v>
      </c>
      <c r="W48" s="30">
        <f t="shared" si="49"/>
        <v>1.0113054851345495</v>
      </c>
      <c r="X48" s="30">
        <f t="shared" si="49"/>
        <v>1.4302019327795825</v>
      </c>
      <c r="Y48" s="30">
        <f t="shared" si="49"/>
        <v>2.0226109702690991</v>
      </c>
      <c r="Z48" s="30">
        <f t="shared" si="49"/>
        <v>2.5432986492598029</v>
      </c>
      <c r="AA48" s="30">
        <f t="shared" si="49"/>
        <v>2.6756628131815461</v>
      </c>
      <c r="AB48" s="30">
        <f t="shared" si="49"/>
        <v>3.1980287432467311</v>
      </c>
      <c r="AC48" s="30">
        <f t="shared" si="49"/>
        <v>4.5226956215585119</v>
      </c>
      <c r="AE48">
        <v>8</v>
      </c>
      <c r="AH48" s="36">
        <f t="shared" si="35"/>
        <v>27.921149729869278</v>
      </c>
      <c r="AI48" s="36">
        <f t="shared" si="35"/>
        <v>-8.0631377150409573</v>
      </c>
      <c r="AJ48" s="36">
        <f t="shared" si="35"/>
        <v>-4.6532044813611657</v>
      </c>
      <c r="AK48" s="36">
        <f t="shared" si="35"/>
        <v>-8.0631377150409573</v>
      </c>
      <c r="AL48" s="36">
        <f t="shared" si="35"/>
        <v>-2.1808211823152774</v>
      </c>
      <c r="AM48" s="36" t="e">
        <f t="shared" si="36"/>
        <v>#DIV/0!</v>
      </c>
      <c r="AN48" s="36">
        <f t="shared" si="37"/>
        <v>6.6009581082243711</v>
      </c>
      <c r="AO48" s="36">
        <f t="shared" si="42"/>
        <v>-5.7400752734395901</v>
      </c>
      <c r="AP48" s="36">
        <f t="shared" si="43"/>
        <v>5.7400752734395901</v>
      </c>
      <c r="AX48">
        <f>(0.7*AK19+1.8*AK30)/2.5</f>
        <v>0.26581956252749717</v>
      </c>
      <c r="AY48">
        <f>(0.7*AL19+1.8*AL30)/2.5</f>
        <v>0.31885868489316904</v>
      </c>
      <c r="AZ48" t="s">
        <v>37</v>
      </c>
      <c r="BA48">
        <v>9860</v>
      </c>
      <c r="BB48">
        <v>2050</v>
      </c>
      <c r="BC48">
        <f>BA48/$C28</f>
        <v>1107.8651685393259</v>
      </c>
      <c r="BD48">
        <f>BB48/$C28</f>
        <v>230.33707865168537</v>
      </c>
      <c r="BE48">
        <f>AVERAGE(BC48:BD48)*0.0000001</f>
        <v>6.6910112359550559E-5</v>
      </c>
      <c r="BF48">
        <f t="shared" si="44"/>
        <v>14945.424013434089</v>
      </c>
      <c r="BG48" s="22">
        <v>852.7</v>
      </c>
      <c r="BH48">
        <f t="shared" si="45"/>
        <v>633.98</v>
      </c>
    </row>
    <row r="49" spans="1:60" x14ac:dyDescent="0.25">
      <c r="A49" t="s">
        <v>38</v>
      </c>
      <c r="L49">
        <f t="shared" si="38"/>
        <v>12.279460394504316</v>
      </c>
      <c r="P49">
        <f t="shared" si="39"/>
        <v>12.279460394504316</v>
      </c>
      <c r="R49" s="36">
        <f t="shared" si="40"/>
        <v>1</v>
      </c>
      <c r="S49" s="1">
        <v>0.45</v>
      </c>
      <c r="V49" s="30">
        <f t="shared" ref="V49:AC49" si="50">$Q$2*SQRT(V$10)*POWER($O20/100,$U$2)*POWER($P20,$V$2)/(POWER($L20/100,$R$2)*POWER($M20,$S$2))</f>
        <v>0.43211405030930766</v>
      </c>
      <c r="W49" s="30">
        <f t="shared" si="50"/>
        <v>0.68323230396899937</v>
      </c>
      <c r="X49" s="30">
        <f t="shared" si="50"/>
        <v>0.96623639052437582</v>
      </c>
      <c r="Y49" s="30">
        <f t="shared" si="50"/>
        <v>1.3664646079379987</v>
      </c>
      <c r="Z49" s="30">
        <f t="shared" si="50"/>
        <v>1.7182382784998256</v>
      </c>
      <c r="AA49" s="30">
        <f t="shared" si="50"/>
        <v>1.8076627639876606</v>
      </c>
      <c r="AB49" s="30">
        <f t="shared" si="50"/>
        <v>2.1605702515465381</v>
      </c>
      <c r="AC49" s="30">
        <f t="shared" si="50"/>
        <v>3.0555077521969638</v>
      </c>
      <c r="AE49">
        <v>18</v>
      </c>
      <c r="AH49" s="36">
        <f t="shared" si="35"/>
        <v>-35.505365625476472</v>
      </c>
      <c r="AI49" s="36">
        <f t="shared" si="35"/>
        <v>-43.063974669250051</v>
      </c>
      <c r="AJ49" s="36">
        <f t="shared" si="35"/>
        <v>-47.200197239105151</v>
      </c>
      <c r="AK49" s="36">
        <f t="shared" si="35"/>
        <v>-45.341415682480047</v>
      </c>
      <c r="AL49" s="36">
        <f t="shared" si="35"/>
        <v>-46.305053796880458</v>
      </c>
      <c r="AM49" s="36" t="e">
        <f t="shared" si="36"/>
        <v>#DIV/0!</v>
      </c>
      <c r="AN49" s="36" t="e">
        <f t="shared" si="37"/>
        <v>#DIV/0!</v>
      </c>
      <c r="AO49" s="36">
        <f t="shared" si="42"/>
        <v>-45.477660346928921</v>
      </c>
      <c r="AP49" s="36">
        <f t="shared" si="43"/>
        <v>45.477660346928921</v>
      </c>
      <c r="AZ49" t="s">
        <v>40</v>
      </c>
      <c r="BA49">
        <v>3510</v>
      </c>
      <c r="BB49">
        <v>3770</v>
      </c>
      <c r="BC49">
        <f>BA49/$C33</f>
        <v>210.81081081081084</v>
      </c>
      <c r="BD49">
        <f>BB49/$C33</f>
        <v>226.42642642642645</v>
      </c>
      <c r="BE49">
        <f>AVERAGE(BC49:BD49)*0.0000001</f>
        <v>2.1861861861861863E-5</v>
      </c>
      <c r="BF49">
        <f t="shared" si="44"/>
        <v>45741.758241758238</v>
      </c>
      <c r="BG49" s="22">
        <v>21.6</v>
      </c>
      <c r="BH49">
        <f t="shared" si="45"/>
        <v>1465.0800000000002</v>
      </c>
    </row>
    <row r="50" spans="1:60" x14ac:dyDescent="0.25">
      <c r="A50" t="s">
        <v>6</v>
      </c>
      <c r="L50">
        <f t="shared" si="38"/>
        <v>3.7608626556338249</v>
      </c>
      <c r="P50">
        <f t="shared" si="39"/>
        <v>3.7608626556338249</v>
      </c>
      <c r="R50" s="36">
        <f t="shared" si="40"/>
        <v>1</v>
      </c>
      <c r="S50" s="1">
        <v>0.45</v>
      </c>
      <c r="V50" s="30">
        <f t="shared" ref="V50:AC50" si="51">$Q$2*SQRT(V$10)*POWER($O21/100,$U$2)*POWER($P21,$V$2)/(POWER($L21/100,$R$2)*POWER($M21,$S$2))</f>
        <v>0.93559938887012339</v>
      </c>
      <c r="W50" s="30">
        <f t="shared" si="51"/>
        <v>1.4793125231455895</v>
      </c>
      <c r="X50" s="30">
        <f t="shared" si="51"/>
        <v>2.0920638332208554</v>
      </c>
      <c r="Y50" s="30">
        <f t="shared" si="51"/>
        <v>2.958625046291179</v>
      </c>
      <c r="Z50" s="30">
        <f t="shared" si="51"/>
        <v>3.7202740391037512</v>
      </c>
      <c r="AA50" s="30">
        <f t="shared" si="51"/>
        <v>3.9138930475867109</v>
      </c>
      <c r="AB50" s="30">
        <f t="shared" si="51"/>
        <v>4.6779969443506166</v>
      </c>
      <c r="AC50" s="30">
        <f t="shared" si="51"/>
        <v>6.6156867234405379</v>
      </c>
      <c r="AE50">
        <v>6</v>
      </c>
      <c r="AH50" s="36">
        <f t="shared" si="35"/>
        <v>-1.5158538031449014</v>
      </c>
      <c r="AI50" s="36">
        <f t="shared" si="35"/>
        <v>-20.03716091104922</v>
      </c>
      <c r="AJ50" s="36">
        <f t="shared" si="35"/>
        <v>-25.283434527826589</v>
      </c>
      <c r="AK50" s="36">
        <f t="shared" si="35"/>
        <v>-26.034373842720527</v>
      </c>
      <c r="AL50" s="36">
        <f t="shared" si="35"/>
        <v>-21.678441282026292</v>
      </c>
      <c r="AM50" s="36">
        <f t="shared" si="36"/>
        <v>-8.8656920312449969</v>
      </c>
      <c r="AN50" s="36">
        <f t="shared" si="37"/>
        <v>-11.497355106880239</v>
      </c>
      <c r="AO50" s="36">
        <f t="shared" si="42"/>
        <v>-23.258352640905656</v>
      </c>
      <c r="AP50" s="36">
        <f t="shared" si="43"/>
        <v>23.258352640905656</v>
      </c>
    </row>
    <row r="51" spans="1:60" x14ac:dyDescent="0.25">
      <c r="A51" t="s">
        <v>8</v>
      </c>
      <c r="L51">
        <f t="shared" si="38"/>
        <v>7.7238561080273094</v>
      </c>
      <c r="P51">
        <f t="shared" si="39"/>
        <v>7.7238561080273094</v>
      </c>
      <c r="R51" s="36">
        <f t="shared" si="40"/>
        <v>1</v>
      </c>
      <c r="S51" s="1">
        <v>0.45</v>
      </c>
      <c r="V51" s="30">
        <f t="shared" ref="V51:AC51" si="52">$Q$2*SQRT(V$10)*POWER($O22/100,$U$2)*POWER($P22,$V$2)/(POWER($L22/100,$R$2)*POWER($M22,$S$2))</f>
        <v>0.59122464146190756</v>
      </c>
      <c r="W51" s="30">
        <f t="shared" si="52"/>
        <v>0.93480823791802481</v>
      </c>
      <c r="X51" s="30">
        <f t="shared" si="52"/>
        <v>1.3220184882817658</v>
      </c>
      <c r="Y51" s="30">
        <f t="shared" si="52"/>
        <v>1.8696164758360496</v>
      </c>
      <c r="Z51" s="30">
        <f t="shared" si="52"/>
        <v>2.3509182574022467</v>
      </c>
      <c r="AA51" s="30">
        <f t="shared" si="52"/>
        <v>2.4732701210655939</v>
      </c>
      <c r="AB51" s="30">
        <f t="shared" si="52"/>
        <v>2.9561232073095378</v>
      </c>
      <c r="AC51" s="30">
        <f t="shared" si="52"/>
        <v>4.1805895318230002</v>
      </c>
      <c r="AE51">
        <v>8.8000001999999995</v>
      </c>
      <c r="AH51" s="36">
        <f t="shared" ref="AH51:AL51" si="53">100*(V51-V22)/V22</f>
        <v>13.697046434982219</v>
      </c>
      <c r="AI51" s="36">
        <f t="shared" si="53"/>
        <v>-15.017432916543207</v>
      </c>
      <c r="AJ51" s="36">
        <f t="shared" si="53"/>
        <v>-14.708484626982852</v>
      </c>
      <c r="AK51" s="36">
        <f t="shared" si="53"/>
        <v>-18.712327137563054</v>
      </c>
      <c r="AL51" s="36">
        <f t="shared" si="53"/>
        <v>-16.03863366420547</v>
      </c>
      <c r="AM51" s="36">
        <f t="shared" si="36"/>
        <v>-6.6690520352606066</v>
      </c>
      <c r="AN51" s="36">
        <f t="shared" si="37"/>
        <v>-1.4625597563487396</v>
      </c>
      <c r="AO51" s="36">
        <f t="shared" si="42"/>
        <v>-16.119219586323645</v>
      </c>
      <c r="AP51" s="36">
        <f t="shared" si="43"/>
        <v>16.119219586323645</v>
      </c>
    </row>
    <row r="52" spans="1:60" s="37" customFormat="1" x14ac:dyDescent="0.25">
      <c r="A52" s="37" t="s">
        <v>53</v>
      </c>
      <c r="L52" s="37">
        <f t="shared" si="38"/>
        <v>9.8994949366116654</v>
      </c>
      <c r="P52">
        <f t="shared" si="39"/>
        <v>9.8994949366116654</v>
      </c>
      <c r="R52" s="38">
        <f t="shared" si="40"/>
        <v>1</v>
      </c>
      <c r="S52" s="1">
        <v>0.45</v>
      </c>
      <c r="V52" s="30" t="e">
        <f t="shared" ref="V52:AC52" si="54">$Q$2*SQRT(V$10)*POWER($O23/100,$U$2)*POWER($P23,$V$2)/(POWER($L23/100,$R$2)*POWER($M23,$S$2))</f>
        <v>#DIV/0!</v>
      </c>
      <c r="W52" s="30" t="e">
        <f t="shared" si="54"/>
        <v>#DIV/0!</v>
      </c>
      <c r="X52" s="30" t="e">
        <f t="shared" si="54"/>
        <v>#DIV/0!</v>
      </c>
      <c r="Y52" s="30" t="e">
        <f t="shared" si="54"/>
        <v>#DIV/0!</v>
      </c>
      <c r="Z52" s="30" t="e">
        <f t="shared" si="54"/>
        <v>#DIV/0!</v>
      </c>
      <c r="AA52" s="30" t="e">
        <f t="shared" si="54"/>
        <v>#DIV/0!</v>
      </c>
      <c r="AB52" s="30" t="e">
        <f t="shared" si="54"/>
        <v>#DIV/0!</v>
      </c>
      <c r="AC52" s="30" t="e">
        <f t="shared" si="54"/>
        <v>#DIV/0!</v>
      </c>
      <c r="AE52" s="37">
        <v>3.0000003999999998</v>
      </c>
      <c r="AH52" s="38" t="e">
        <f t="shared" ref="AH52:AL52" si="55">100*(V52-V23)/V23</f>
        <v>#DIV/0!</v>
      </c>
      <c r="AI52" s="38" t="e">
        <f t="shared" si="55"/>
        <v>#DIV/0!</v>
      </c>
      <c r="AJ52" s="38" t="e">
        <f t="shared" si="55"/>
        <v>#DIV/0!</v>
      </c>
      <c r="AK52" s="38" t="e">
        <f t="shared" si="55"/>
        <v>#DIV/0!</v>
      </c>
      <c r="AL52" s="38" t="e">
        <f t="shared" si="55"/>
        <v>#DIV/0!</v>
      </c>
      <c r="AM52" s="38" t="e">
        <f t="shared" si="36"/>
        <v>#DIV/0!</v>
      </c>
      <c r="AN52" s="38" t="e">
        <f t="shared" si="37"/>
        <v>#DIV/0!</v>
      </c>
      <c r="AO52" s="36" t="e">
        <f t="shared" si="42"/>
        <v>#DIV/0!</v>
      </c>
      <c r="AP52" s="36" t="e">
        <f t="shared" si="43"/>
        <v>#DIV/0!</v>
      </c>
      <c r="BG52" s="39"/>
    </row>
    <row r="53" spans="1:60" x14ac:dyDescent="0.25">
      <c r="A53" t="s">
        <v>9</v>
      </c>
      <c r="L53">
        <f t="shared" si="38"/>
        <v>2.8242192348721082</v>
      </c>
      <c r="P53">
        <f t="shared" si="39"/>
        <v>2.8242192348721082</v>
      </c>
      <c r="R53" s="36">
        <f t="shared" si="40"/>
        <v>1</v>
      </c>
      <c r="S53" s="1">
        <v>0.45</v>
      </c>
      <c r="V53" s="30">
        <f t="shared" ref="V53:AC53" si="56">$Q$2*SQRT(V$10)*POWER($O24/100,$U$2)*POWER($P24,$V$2)/(POWER($L24/100,$R$2)*POWER($M24,$S$2))</f>
        <v>0.41148617382180758</v>
      </c>
      <c r="W53" s="30">
        <f t="shared" si="56"/>
        <v>0.65061676747243224</v>
      </c>
      <c r="X53" s="30">
        <f t="shared" si="56"/>
        <v>0.92011105646685598</v>
      </c>
      <c r="Y53" s="30">
        <f t="shared" si="56"/>
        <v>1.3012335349448645</v>
      </c>
      <c r="Z53" s="30">
        <f t="shared" si="56"/>
        <v>1.6362145466641711</v>
      </c>
      <c r="AA53" s="30">
        <f t="shared" si="56"/>
        <v>1.7213701655407934</v>
      </c>
      <c r="AB53" s="30">
        <f t="shared" si="56"/>
        <v>2.0574308691090377</v>
      </c>
      <c r="AC53" s="30">
        <f t="shared" si="56"/>
        <v>2.9096466387390651</v>
      </c>
      <c r="AE53">
        <v>2.6000006</v>
      </c>
      <c r="AH53" s="36">
        <f t="shared" ref="AH53:AL53" si="57">100*(V53-V24)/V24</f>
        <v>-25.184332032398629</v>
      </c>
      <c r="AI53" s="36">
        <f t="shared" si="57"/>
        <v>-40.853021138869799</v>
      </c>
      <c r="AJ53" s="36">
        <f t="shared" si="57"/>
        <v>-42.493058970821501</v>
      </c>
      <c r="AK53" s="36">
        <f t="shared" si="57"/>
        <v>-43.424628915440671</v>
      </c>
      <c r="AL53" s="36">
        <f t="shared" si="57"/>
        <v>-39.399461234660336</v>
      </c>
      <c r="AM53" s="36">
        <f t="shared" si="36"/>
        <v>-29.739993243232927</v>
      </c>
      <c r="AN53" s="36">
        <f t="shared" si="37"/>
        <v>-20.868043495806244</v>
      </c>
      <c r="AO53" s="36">
        <f t="shared" si="42"/>
        <v>-41.542542564948079</v>
      </c>
      <c r="AP53" s="36">
        <f t="shared" si="43"/>
        <v>41.542542564948079</v>
      </c>
    </row>
    <row r="54" spans="1:60" s="37" customFormat="1" x14ac:dyDescent="0.25">
      <c r="A54" s="37" t="s">
        <v>51</v>
      </c>
      <c r="L54" s="37">
        <f t="shared" si="38"/>
        <v>29.610264257095039</v>
      </c>
      <c r="P54">
        <f t="shared" si="39"/>
        <v>29.610264257095039</v>
      </c>
      <c r="R54" s="38">
        <f t="shared" si="40"/>
        <v>1</v>
      </c>
      <c r="S54" s="1">
        <v>0.45</v>
      </c>
      <c r="V54" s="30">
        <f t="shared" ref="V54:AC54" si="58">$Q$2*SQRT(V$10)*POWER($O25/100,$U$2)*POWER($P25,$V$2)/(POWER($L25/100,$R$2)*POWER($M25,$S$2))</f>
        <v>0</v>
      </c>
      <c r="W54" s="30">
        <f t="shared" si="58"/>
        <v>0</v>
      </c>
      <c r="X54" s="30">
        <f t="shared" si="58"/>
        <v>0</v>
      </c>
      <c r="Y54" s="30">
        <f t="shared" si="58"/>
        <v>0</v>
      </c>
      <c r="Z54" s="30">
        <f t="shared" si="58"/>
        <v>0</v>
      </c>
      <c r="AA54" s="30">
        <f t="shared" si="58"/>
        <v>0</v>
      </c>
      <c r="AB54" s="30">
        <f t="shared" si="58"/>
        <v>0</v>
      </c>
      <c r="AC54" s="30">
        <f t="shared" si="58"/>
        <v>0</v>
      </c>
      <c r="AE54" s="37">
        <v>3.2000008000000002</v>
      </c>
      <c r="AH54" s="38">
        <f t="shared" ref="AH54:AL54" si="59">100*(V54-V25)/V25</f>
        <v>-100</v>
      </c>
      <c r="AI54" s="38">
        <f t="shared" si="59"/>
        <v>-100</v>
      </c>
      <c r="AJ54" s="38">
        <f t="shared" si="59"/>
        <v>-100</v>
      </c>
      <c r="AK54" s="38">
        <f t="shared" si="59"/>
        <v>-100</v>
      </c>
      <c r="AL54" s="38">
        <f t="shared" si="59"/>
        <v>-100</v>
      </c>
      <c r="AM54" s="38">
        <f t="shared" si="36"/>
        <v>-100</v>
      </c>
      <c r="AN54" s="38">
        <f t="shared" si="37"/>
        <v>-100</v>
      </c>
      <c r="AO54" s="36">
        <f t="shared" si="42"/>
        <v>-100</v>
      </c>
      <c r="AP54" s="36">
        <f t="shared" si="43"/>
        <v>100</v>
      </c>
      <c r="BG54" s="39"/>
    </row>
    <row r="55" spans="1:60" x14ac:dyDescent="0.25">
      <c r="A55" t="s">
        <v>39</v>
      </c>
      <c r="L55">
        <f t="shared" si="38"/>
        <v>24.976664631967274</v>
      </c>
      <c r="P55">
        <f t="shared" si="39"/>
        <v>24.976664631967274</v>
      </c>
      <c r="R55" s="36">
        <f t="shared" si="40"/>
        <v>1</v>
      </c>
      <c r="S55" s="1">
        <v>0.45</v>
      </c>
      <c r="V55" s="30">
        <f t="shared" ref="V55:AC55" si="60">$Q$2*SQRT(V$10)*POWER($O26/100,$U$2)*POWER($P26,$V$2)/(POWER($L26/100,$R$2)*POWER($M26,$S$2))</f>
        <v>0.29038403508361804</v>
      </c>
      <c r="W55" s="30">
        <f t="shared" si="60"/>
        <v>0.4591374735072381</v>
      </c>
      <c r="X55" s="30">
        <f t="shared" si="60"/>
        <v>0.64931844202765376</v>
      </c>
      <c r="Y55" s="30">
        <f t="shared" si="60"/>
        <v>0.91827494701447621</v>
      </c>
      <c r="Z55" s="30">
        <f t="shared" si="60"/>
        <v>1.1546696160163288</v>
      </c>
      <c r="AA55" s="30">
        <f t="shared" si="60"/>
        <v>1.2147635724906589</v>
      </c>
      <c r="AB55" s="30">
        <f t="shared" si="60"/>
        <v>1.4519201754180902</v>
      </c>
      <c r="AC55" s="30">
        <f t="shared" si="60"/>
        <v>2.0533252035593863</v>
      </c>
      <c r="AE55">
        <v>20.000001000000001</v>
      </c>
      <c r="AH55" s="36">
        <f t="shared" ref="AH55:AL55" si="61">100*(V55-V26)/V26</f>
        <v>26.253928297225229</v>
      </c>
      <c r="AI55" s="36">
        <f t="shared" si="61"/>
        <v>-16.520459362320352</v>
      </c>
      <c r="AJ55" s="36">
        <f t="shared" si="61"/>
        <v>-27.853506441371803</v>
      </c>
      <c r="AK55" s="36">
        <f t="shared" si="61"/>
        <v>-26.538004238841904</v>
      </c>
      <c r="AL55" s="36">
        <f t="shared" si="61"/>
        <v>-20.367612688529046</v>
      </c>
      <c r="AM55" s="36" t="e">
        <f t="shared" si="36"/>
        <v>#DIV/0!</v>
      </c>
      <c r="AN55" s="36" t="e">
        <f t="shared" si="37"/>
        <v>#DIV/0!</v>
      </c>
      <c r="AO55" s="36">
        <f t="shared" si="42"/>
        <v>-22.819895682765779</v>
      </c>
      <c r="AP55" s="36">
        <f t="shared" si="43"/>
        <v>22.819895682765779</v>
      </c>
    </row>
    <row r="56" spans="1:60" x14ac:dyDescent="0.25">
      <c r="A56" t="s">
        <v>10</v>
      </c>
      <c r="L56">
        <f t="shared" si="38"/>
        <v>21.946728104929868</v>
      </c>
      <c r="P56">
        <f t="shared" si="39"/>
        <v>21.946728104929868</v>
      </c>
      <c r="R56" s="36">
        <f t="shared" si="40"/>
        <v>1</v>
      </c>
      <c r="S56" s="1">
        <v>0.45</v>
      </c>
      <c r="V56" s="30">
        <f t="shared" ref="V56:AC56" si="62">$Q$2*SQRT(V$10)*POWER($O27/100,$U$2)*POWER($P27,$V$2)/(POWER($L27/100,$R$2)*POWER($M27,$S$2))</f>
        <v>0.31581106478600046</v>
      </c>
      <c r="W56" s="30">
        <f t="shared" si="62"/>
        <v>0.499341137503379</v>
      </c>
      <c r="X56" s="30">
        <f t="shared" si="62"/>
        <v>0.70617500890808704</v>
      </c>
      <c r="Y56" s="30">
        <f t="shared" si="62"/>
        <v>0.99868227500675799</v>
      </c>
      <c r="Z56" s="30">
        <f t="shared" si="62"/>
        <v>1.2557764782253042</v>
      </c>
      <c r="AA56" s="30">
        <f t="shared" si="62"/>
        <v>1.3211324692180488</v>
      </c>
      <c r="AB56" s="30">
        <f t="shared" si="62"/>
        <v>1.5790553239300023</v>
      </c>
      <c r="AC56" s="30">
        <f t="shared" si="62"/>
        <v>2.23312145483925</v>
      </c>
      <c r="AE56">
        <v>24.0000012</v>
      </c>
      <c r="AH56" s="36">
        <f t="shared" ref="AH56:AL56" si="63">100*(V56-V27)/V27</f>
        <v>57.905532393000222</v>
      </c>
      <c r="AI56" s="36">
        <f t="shared" si="63"/>
        <v>-0.13177249932420088</v>
      </c>
      <c r="AJ56" s="36">
        <f t="shared" si="63"/>
        <v>-41.152082590992748</v>
      </c>
      <c r="AK56" s="36">
        <f t="shared" si="63"/>
        <v>-50.065886249662107</v>
      </c>
      <c r="AL56" s="36">
        <f t="shared" si="63"/>
        <v>-40.13320537787952</v>
      </c>
      <c r="AM56" s="36">
        <f t="shared" si="36"/>
        <v>-37.088930037235777</v>
      </c>
      <c r="AN56" s="36">
        <f t="shared" si="37"/>
        <v>-28.224758003181723</v>
      </c>
      <c r="AO56" s="36">
        <f t="shared" si="42"/>
        <v>-32.870736679464642</v>
      </c>
      <c r="AP56" s="36">
        <f t="shared" si="43"/>
        <v>32.870736679464642</v>
      </c>
    </row>
    <row r="57" spans="1:60" x14ac:dyDescent="0.25">
      <c r="A57" t="s">
        <v>37</v>
      </c>
      <c r="L57">
        <f t="shared" si="38"/>
        <v>6.8690613312279254</v>
      </c>
      <c r="P57">
        <f t="shared" si="39"/>
        <v>6.8690613312279254</v>
      </c>
      <c r="R57" s="36">
        <f t="shared" si="40"/>
        <v>1</v>
      </c>
      <c r="S57" s="1">
        <v>0.45</v>
      </c>
      <c r="V57" s="30">
        <f t="shared" ref="V57:AC57" si="64">$Q$2*SQRT(V$10)*POWER($O28/100,$U$2)*POWER($P28,$V$2)/(POWER($L28/100,$R$2)*POWER($M28,$S$2))</f>
        <v>0.66832781382365936</v>
      </c>
      <c r="W57" s="30">
        <f t="shared" si="64"/>
        <v>1.0567190576618648</v>
      </c>
      <c r="X57" s="30">
        <f t="shared" si="64"/>
        <v>1.4944264229635258</v>
      </c>
      <c r="Y57" s="30">
        <f t="shared" si="64"/>
        <v>2.1134381153237296</v>
      </c>
      <c r="Z57" s="30">
        <f t="shared" si="64"/>
        <v>2.6575077377741567</v>
      </c>
      <c r="AA57" s="30">
        <f t="shared" si="64"/>
        <v>2.7958158322358173</v>
      </c>
      <c r="AB57" s="30">
        <f t="shared" si="64"/>
        <v>3.3416390691182971</v>
      </c>
      <c r="AC57" s="30">
        <f t="shared" si="64"/>
        <v>4.7257912921029002</v>
      </c>
      <c r="AE57">
        <v>7.0000014000000004</v>
      </c>
      <c r="AH57" s="36">
        <f t="shared" ref="AH57:AL57" si="65">100*(V57-V28)/V28</f>
        <v>33.665562764731874</v>
      </c>
      <c r="AI57" s="36">
        <f t="shared" si="65"/>
        <v>0.63991025351092934</v>
      </c>
      <c r="AJ57" s="36">
        <f t="shared" si="65"/>
        <v>-0.37157180243161392</v>
      </c>
      <c r="AK57" s="36">
        <f t="shared" si="65"/>
        <v>0.63991025351092934</v>
      </c>
      <c r="AL57" s="36">
        <f t="shared" si="65"/>
        <v>8.4697035826186333</v>
      </c>
      <c r="AM57" s="36" t="e">
        <f t="shared" si="36"/>
        <v>#DIV/0!</v>
      </c>
      <c r="AN57" s="36" t="e">
        <f t="shared" si="37"/>
        <v>#DIV/0!</v>
      </c>
      <c r="AO57" s="36">
        <f t="shared" si="42"/>
        <v>2.3444880718022194</v>
      </c>
      <c r="AP57" s="36">
        <f t="shared" si="43"/>
        <v>2.3444880718022194</v>
      </c>
    </row>
    <row r="58" spans="1:60" x14ac:dyDescent="0.25">
      <c r="A58" t="s">
        <v>52</v>
      </c>
      <c r="L58">
        <f t="shared" si="38"/>
        <v>7.9063953544812549</v>
      </c>
      <c r="P58">
        <f t="shared" si="39"/>
        <v>7.9063953544812549</v>
      </c>
      <c r="R58" s="36">
        <f t="shared" si="40"/>
        <v>1</v>
      </c>
      <c r="S58" s="1">
        <v>0.45</v>
      </c>
      <c r="V58" s="30">
        <f t="shared" ref="V58:AC58" si="66">$Q$2*SQRT(V$10)*POWER($O29/100,$U$2)*POWER($P29,$V$2)/(POWER($L29/100,$R$2)*POWER($M29,$S$2))</f>
        <v>0.68546889768213892</v>
      </c>
      <c r="W58" s="30">
        <f t="shared" si="66"/>
        <v>1.0838214909402364</v>
      </c>
      <c r="X58" s="30">
        <f t="shared" si="66"/>
        <v>1.5327550516791106</v>
      </c>
      <c r="Y58" s="30">
        <f t="shared" si="66"/>
        <v>2.1676429818804728</v>
      </c>
      <c r="Z58" s="30">
        <f t="shared" si="66"/>
        <v>2.7256667490341075</v>
      </c>
      <c r="AA58" s="30">
        <f t="shared" si="66"/>
        <v>2.8675221306151091</v>
      </c>
      <c r="AB58" s="30">
        <f t="shared" si="66"/>
        <v>3.4273444884106947</v>
      </c>
      <c r="AC58" s="30">
        <f t="shared" si="66"/>
        <v>4.8469970584350817</v>
      </c>
      <c r="AE58">
        <v>12.4000016</v>
      </c>
      <c r="AH58" s="36">
        <f t="shared" ref="AH58:AL58" si="67">100*(V58-V29)/V29</f>
        <v>-19.356600272689537</v>
      </c>
      <c r="AI58" s="36">
        <f t="shared" si="67"/>
        <v>-22.584179218554539</v>
      </c>
      <c r="AJ58" s="36">
        <f t="shared" si="67"/>
        <v>-34.216521387162629</v>
      </c>
      <c r="AK58" s="36">
        <f t="shared" si="67"/>
        <v>-34.313849033925067</v>
      </c>
      <c r="AL58" s="36">
        <f t="shared" si="67"/>
        <v>-33.520323194290057</v>
      </c>
      <c r="AM58" s="36" t="e">
        <f t="shared" si="36"/>
        <v>#DIV/0!</v>
      </c>
      <c r="AN58" s="36" t="e">
        <f t="shared" si="37"/>
        <v>#DIV/0!</v>
      </c>
      <c r="AO58" s="36">
        <f t="shared" si="42"/>
        <v>-31.158718208483073</v>
      </c>
      <c r="AP58" s="36">
        <f t="shared" si="43"/>
        <v>31.158718208483073</v>
      </c>
    </row>
    <row r="59" spans="1:60" x14ac:dyDescent="0.25">
      <c r="A59" t="s">
        <v>45</v>
      </c>
      <c r="L59">
        <f t="shared" si="38"/>
        <v>10.414671128568594</v>
      </c>
      <c r="P59">
        <f t="shared" si="39"/>
        <v>10.414671128568594</v>
      </c>
      <c r="R59" s="36">
        <f t="shared" si="40"/>
        <v>1</v>
      </c>
      <c r="S59" s="1">
        <v>0.45</v>
      </c>
      <c r="V59" s="30">
        <f t="shared" ref="V59:AC59" si="68">$Q$2*SQRT(V$10)*POWER($O30/100,$U$2)*POWER($P30,$V$2)/(POWER($L30/100,$R$2)*POWER($M30,$S$2))</f>
        <v>0.70181610175559694</v>
      </c>
      <c r="W59" s="30">
        <f t="shared" si="68"/>
        <v>1.1096686900640911</v>
      </c>
      <c r="X59" s="30">
        <f t="shared" si="68"/>
        <v>1.5693085112294243</v>
      </c>
      <c r="Y59" s="30">
        <f t="shared" si="68"/>
        <v>2.2193373801281822</v>
      </c>
      <c r="Z59" s="30">
        <f t="shared" si="68"/>
        <v>2.7906690135181207</v>
      </c>
      <c r="AA59" s="30">
        <f t="shared" si="68"/>
        <v>2.9359073915843958</v>
      </c>
      <c r="AB59" s="30">
        <f t="shared" si="68"/>
        <v>3.5090805087779842</v>
      </c>
      <c r="AC59" s="30">
        <f t="shared" si="68"/>
        <v>4.9625892469729065</v>
      </c>
      <c r="AE59">
        <v>12.0000018</v>
      </c>
      <c r="AH59" s="36">
        <f t="shared" ref="AH59:AL59" si="69">100*(V59-V30)/V30</f>
        <v>63.213046919906269</v>
      </c>
      <c r="AI59" s="36">
        <f t="shared" si="69"/>
        <v>14.398834027225888</v>
      </c>
      <c r="AJ59" s="36">
        <f t="shared" si="69"/>
        <v>4.6205674152949516</v>
      </c>
      <c r="AK59" s="36">
        <f t="shared" si="69"/>
        <v>0.87897182400827178</v>
      </c>
      <c r="AL59" s="36">
        <f t="shared" si="69"/>
        <v>5.3082646610611617</v>
      </c>
      <c r="AM59" s="36" t="e">
        <f t="shared" si="36"/>
        <v>#DIV/0!</v>
      </c>
      <c r="AN59" s="36" t="e">
        <f t="shared" si="37"/>
        <v>#DIV/0!</v>
      </c>
      <c r="AO59" s="36">
        <f t="shared" si="42"/>
        <v>6.301659481897568</v>
      </c>
      <c r="AP59" s="36">
        <f t="shared" si="43"/>
        <v>6.301659481897568</v>
      </c>
    </row>
    <row r="60" spans="1:60" x14ac:dyDescent="0.25">
      <c r="A60" t="s">
        <v>3</v>
      </c>
      <c r="L60">
        <f t="shared" si="38"/>
        <v>6.4688302542643061</v>
      </c>
      <c r="P60">
        <f t="shared" si="39"/>
        <v>6.4688302542643061</v>
      </c>
      <c r="R60" s="36">
        <f t="shared" si="40"/>
        <v>1</v>
      </c>
      <c r="S60" s="1">
        <v>0.45</v>
      </c>
      <c r="V60" s="30">
        <f t="shared" ref="V60:AC60" si="70">$Q$2*SQRT(V$10)*POWER($O31/100,$U$2)*POWER($P31,$V$2)/(POWER($L31/100,$R$2)*POWER($M31,$S$2))</f>
        <v>0.23548968738834608</v>
      </c>
      <c r="W60" s="30">
        <f t="shared" si="70"/>
        <v>0.37234188881410107</v>
      </c>
      <c r="X60" s="30">
        <f t="shared" si="70"/>
        <v>0.52657094900051671</v>
      </c>
      <c r="Y60" s="30">
        <f t="shared" si="70"/>
        <v>0.74468377762820215</v>
      </c>
      <c r="Z60" s="30">
        <f t="shared" si="70"/>
        <v>0.93639027653227469</v>
      </c>
      <c r="AA60" s="30">
        <f t="shared" si="70"/>
        <v>0.98512404049417379</v>
      </c>
      <c r="AB60" s="30">
        <f t="shared" si="70"/>
        <v>1.1774484369417304</v>
      </c>
      <c r="AC60" s="30">
        <f t="shared" si="70"/>
        <v>1.6651635485179972</v>
      </c>
      <c r="AE60">
        <v>3.0000002000000001</v>
      </c>
      <c r="AH60" s="36">
        <f t="shared" ref="AH60:AL60" si="71">100*(V60-V31)/V31</f>
        <v>30.827604104636716</v>
      </c>
      <c r="AI60" s="36">
        <f t="shared" si="71"/>
        <v>-11.347169329975932</v>
      </c>
      <c r="AJ60" s="36">
        <f t="shared" si="71"/>
        <v>-24.775578714211896</v>
      </c>
      <c r="AK60" s="36">
        <f t="shared" si="71"/>
        <v>-25.531622237179786</v>
      </c>
      <c r="AL60" s="36">
        <f t="shared" si="71"/>
        <v>-21.967476955643775</v>
      </c>
      <c r="AM60" s="36">
        <f t="shared" si="36"/>
        <v>-17.906329958818848</v>
      </c>
      <c r="AN60" s="36">
        <f t="shared" si="37"/>
        <v>-15.896540218447823</v>
      </c>
      <c r="AO60" s="36">
        <f t="shared" si="42"/>
        <v>-20.905461809252849</v>
      </c>
      <c r="AP60" s="36">
        <f t="shared" si="43"/>
        <v>20.905461809252849</v>
      </c>
    </row>
    <row r="61" spans="1:60" x14ac:dyDescent="0.25">
      <c r="A61" t="s">
        <v>4</v>
      </c>
      <c r="L61">
        <f t="shared" si="38"/>
        <v>9.6538606210261797</v>
      </c>
      <c r="P61">
        <f t="shared" si="39"/>
        <v>9.6538606210261797</v>
      </c>
      <c r="R61" s="36">
        <f t="shared" si="40"/>
        <v>1</v>
      </c>
      <c r="S61" s="1">
        <v>0.45</v>
      </c>
      <c r="V61" s="30">
        <f t="shared" ref="V61:AC61" si="72">$Q$2*SQRT(V$10)*POWER($O32/100,$U$2)*POWER($P32,$V$2)/(POWER($L32/100,$R$2)*POWER($M32,$S$2))</f>
        <v>1.079973984787759</v>
      </c>
      <c r="W61" s="30">
        <f t="shared" si="72"/>
        <v>1.7075888028286774</v>
      </c>
      <c r="X61" s="30">
        <f t="shared" si="72"/>
        <v>2.4148952439167526</v>
      </c>
      <c r="Y61" s="30">
        <f t="shared" si="72"/>
        <v>3.4151776056573548</v>
      </c>
      <c r="Z61" s="30">
        <f t="shared" si="72"/>
        <v>4.2943584896580838</v>
      </c>
      <c r="AA61" s="30">
        <f t="shared" si="72"/>
        <v>4.5178553138431887</v>
      </c>
      <c r="AB61" s="30">
        <f t="shared" si="72"/>
        <v>5.3998699239387955</v>
      </c>
      <c r="AC61" s="30">
        <f t="shared" si="72"/>
        <v>7.6365692814848165</v>
      </c>
      <c r="AE61">
        <v>3.0000022</v>
      </c>
      <c r="AH61" s="36">
        <f t="shared" ref="AH61:AL61" si="73">100*(V61-V32)/V32</f>
        <v>971.40276268626883</v>
      </c>
      <c r="AI61" s="36">
        <f t="shared" si="73"/>
        <v>626.01564746117231</v>
      </c>
      <c r="AJ61" s="36">
        <f t="shared" si="73"/>
        <v>516.04470508080419</v>
      </c>
      <c r="AK61" s="36">
        <f t="shared" si="73"/>
        <v>509.8531438673848</v>
      </c>
      <c r="AL61" s="36">
        <f t="shared" si="73"/>
        <v>539.04144191340527</v>
      </c>
      <c r="AM61" s="36">
        <f t="shared" si="36"/>
        <v>572.2998978933316</v>
      </c>
      <c r="AN61" s="36">
        <f t="shared" si="37"/>
        <v>588.75891886974432</v>
      </c>
      <c r="AO61" s="36">
        <f t="shared" si="42"/>
        <v>547.7387345806917</v>
      </c>
      <c r="AP61" s="36">
        <f t="shared" si="43"/>
        <v>547.7387345806917</v>
      </c>
    </row>
    <row r="62" spans="1:60" x14ac:dyDescent="0.25">
      <c r="A62" t="s">
        <v>40</v>
      </c>
      <c r="L62">
        <f t="shared" si="38"/>
        <v>34.357993529508633</v>
      </c>
      <c r="P62">
        <f t="shared" si="39"/>
        <v>34.357993529508633</v>
      </c>
      <c r="R62" s="36">
        <f t="shared" si="40"/>
        <v>1</v>
      </c>
      <c r="S62" s="1">
        <v>0.45</v>
      </c>
      <c r="V62" s="30">
        <f t="shared" ref="V62:AC62" si="74">$Q$2*SQRT(V$10)*POWER($O33/100,$U$2)*POWER($P33,$V$2)/(POWER($L33/100,$R$2)*POWER($M33,$S$2))</f>
        <v>0.18265560548105841</v>
      </c>
      <c r="W62" s="30">
        <f t="shared" si="74"/>
        <v>0.28880387035863997</v>
      </c>
      <c r="X62" s="30">
        <f t="shared" si="74"/>
        <v>0.40843035032702979</v>
      </c>
      <c r="Y62" s="30">
        <f t="shared" si="74"/>
        <v>0.57760774071727994</v>
      </c>
      <c r="Z62" s="30">
        <f t="shared" si="74"/>
        <v>0.72630328242154119</v>
      </c>
      <c r="AA62" s="30">
        <f t="shared" si="74"/>
        <v>0.76410321864189978</v>
      </c>
      <c r="AB62" s="30">
        <f t="shared" si="74"/>
        <v>0.91327802740529218</v>
      </c>
      <c r="AC62" s="30">
        <f t="shared" si="74"/>
        <v>1.2915701725739113</v>
      </c>
      <c r="AE62">
        <v>24.0000024</v>
      </c>
      <c r="AH62" s="36">
        <f t="shared" ref="AH62:AL62" si="75">100*(V62-V33)/V33</f>
        <v>1.4753363783657893</v>
      </c>
      <c r="AI62" s="36">
        <f t="shared" si="75"/>
        <v>-35.82136214252445</v>
      </c>
      <c r="AJ62" s="36">
        <f t="shared" si="75"/>
        <v>-41.652807096138602</v>
      </c>
      <c r="AK62" s="36">
        <f t="shared" si="75"/>
        <v>-44.989738979306679</v>
      </c>
      <c r="AL62" s="36">
        <f t="shared" si="75"/>
        <v>-39.474726464871566</v>
      </c>
      <c r="AM62" s="36" t="e">
        <f t="shared" si="36"/>
        <v>#DIV/0!</v>
      </c>
      <c r="AN62" s="36">
        <f t="shared" si="37"/>
        <v>-39.114798172980521</v>
      </c>
      <c r="AO62" s="36">
        <f t="shared" si="42"/>
        <v>-40.484658670710324</v>
      </c>
      <c r="AP62" s="36">
        <f t="shared" si="43"/>
        <v>40.484658670710324</v>
      </c>
    </row>
    <row r="63" spans="1:60" x14ac:dyDescent="0.25">
      <c r="A63" t="s">
        <v>12</v>
      </c>
      <c r="L63">
        <f t="shared" si="38"/>
        <v>11.861352113686017</v>
      </c>
      <c r="P63">
        <f t="shared" si="39"/>
        <v>11.861352113686017</v>
      </c>
      <c r="R63" s="36">
        <f t="shared" si="40"/>
        <v>1</v>
      </c>
      <c r="S63" s="1">
        <v>0.45</v>
      </c>
      <c r="V63" s="30" t="e">
        <f t="shared" ref="V63:AC63" si="76">$Q$2*SQRT(V$10)*POWER($O34/100,$U$2)*POWER($P34,$V$2)/(POWER($L34/100,$R$2)*POWER($M34,$S$2))</f>
        <v>#DIV/0!</v>
      </c>
      <c r="W63" s="30" t="e">
        <f t="shared" si="76"/>
        <v>#DIV/0!</v>
      </c>
      <c r="X63" s="30" t="e">
        <f t="shared" si="76"/>
        <v>#DIV/0!</v>
      </c>
      <c r="Y63" s="30" t="e">
        <f t="shared" si="76"/>
        <v>#DIV/0!</v>
      </c>
      <c r="Z63" s="30" t="e">
        <f t="shared" si="76"/>
        <v>#DIV/0!</v>
      </c>
      <c r="AA63" s="30" t="e">
        <f t="shared" si="76"/>
        <v>#DIV/0!</v>
      </c>
      <c r="AB63" s="30" t="e">
        <f t="shared" si="76"/>
        <v>#DIV/0!</v>
      </c>
      <c r="AC63" s="30" t="e">
        <f t="shared" si="76"/>
        <v>#DIV/0!</v>
      </c>
      <c r="AE63">
        <v>5.0000026000000002</v>
      </c>
      <c r="AH63" s="36" t="e">
        <f t="shared" ref="AH63:AL63" si="77">100*(V63-V34)/V34</f>
        <v>#DIV/0!</v>
      </c>
      <c r="AI63" s="36" t="e">
        <f t="shared" si="77"/>
        <v>#DIV/0!</v>
      </c>
      <c r="AJ63" s="36" t="e">
        <f t="shared" si="77"/>
        <v>#DIV/0!</v>
      </c>
      <c r="AK63" s="36" t="e">
        <f t="shared" si="77"/>
        <v>#DIV/0!</v>
      </c>
      <c r="AL63" s="36" t="e">
        <f t="shared" si="77"/>
        <v>#DIV/0!</v>
      </c>
      <c r="AM63" s="36" t="e">
        <f t="shared" si="36"/>
        <v>#DIV/0!</v>
      </c>
      <c r="AN63" s="36" t="e">
        <f t="shared" si="37"/>
        <v>#DIV/0!</v>
      </c>
      <c r="AO63" s="36" t="e">
        <f t="shared" si="42"/>
        <v>#DIV/0!</v>
      </c>
      <c r="AP63" s="36" t="e">
        <f t="shared" si="43"/>
        <v>#DIV/0!</v>
      </c>
    </row>
    <row r="64" spans="1:60" x14ac:dyDescent="0.25">
      <c r="A64" t="s">
        <v>7</v>
      </c>
      <c r="L64">
        <f t="shared" si="38"/>
        <v>9.1854806611970492</v>
      </c>
      <c r="P64">
        <f t="shared" si="39"/>
        <v>9.1854806611970492</v>
      </c>
      <c r="R64" s="36">
        <f t="shared" si="40"/>
        <v>1</v>
      </c>
      <c r="S64" s="1">
        <v>0.45</v>
      </c>
      <c r="V64" s="30">
        <f t="shared" ref="V64:AC64" si="78">$Q$2*SQRT(V$10)*POWER($O35/100,$U$2)*POWER($P35,$V$2)/(POWER($L35/100,$R$2)*POWER($M35,$S$2))</f>
        <v>0.33213107610299264</v>
      </c>
      <c r="W64" s="30">
        <f t="shared" si="78"/>
        <v>0.52514534110408861</v>
      </c>
      <c r="X64" s="30">
        <f t="shared" si="78"/>
        <v>0.74266766360644743</v>
      </c>
      <c r="Y64" s="30">
        <f t="shared" si="78"/>
        <v>1.0502906822081772</v>
      </c>
      <c r="Z64" s="30">
        <f t="shared" si="78"/>
        <v>1.3206706146930587</v>
      </c>
      <c r="AA64" s="30">
        <f t="shared" si="78"/>
        <v>1.3894039747256042</v>
      </c>
      <c r="AB64" s="30">
        <f t="shared" si="78"/>
        <v>1.6606553805149629</v>
      </c>
      <c r="AC64" s="30">
        <f t="shared" si="78"/>
        <v>2.3485213615521134</v>
      </c>
      <c r="AE64">
        <v>4.8000027999999997</v>
      </c>
      <c r="AH64" s="36">
        <f t="shared" ref="AH64:AL64" si="79">100*(V64-V35)/V35</f>
        <v>58.157655287139356</v>
      </c>
      <c r="AI64" s="36">
        <f t="shared" si="79"/>
        <v>11.733051298742264</v>
      </c>
      <c r="AJ64" s="36">
        <f t="shared" si="79"/>
        <v>1.7352963844448552</v>
      </c>
      <c r="AK64" s="36">
        <f t="shared" si="79"/>
        <v>2.7684019826398499E-2</v>
      </c>
      <c r="AL64" s="36">
        <f t="shared" si="79"/>
        <v>5.2335534792255549</v>
      </c>
      <c r="AM64" s="36">
        <f t="shared" si="36"/>
        <v>8.972860762792493</v>
      </c>
      <c r="AN64" s="36">
        <f t="shared" si="37"/>
        <v>10.710358700997524</v>
      </c>
      <c r="AO64" s="36">
        <f t="shared" si="42"/>
        <v>4.6823962955597684</v>
      </c>
      <c r="AP64" s="36">
        <f t="shared" si="43"/>
        <v>4.6823962955597684</v>
      </c>
    </row>
    <row r="65" spans="1:59" x14ac:dyDescent="0.25">
      <c r="A65" t="s">
        <v>11</v>
      </c>
      <c r="L65">
        <f t="shared" si="38"/>
        <v>45.927642730715505</v>
      </c>
      <c r="P65">
        <f t="shared" si="39"/>
        <v>45.927642730715505</v>
      </c>
      <c r="R65" s="36">
        <f t="shared" si="40"/>
        <v>1</v>
      </c>
      <c r="S65" s="1">
        <v>0.45</v>
      </c>
      <c r="V65" s="30">
        <f t="shared" ref="V65:AC65" si="80">$Q$2*SQRT(V$10)*POWER($O36/100,$U$2)*POWER($P36,$V$2)/(POWER($L36/100,$R$2)*POWER($M36,$S$2))</f>
        <v>0.30829024354057183</v>
      </c>
      <c r="W65" s="30">
        <f t="shared" si="80"/>
        <v>0.48744967499810959</v>
      </c>
      <c r="X65" s="30">
        <f t="shared" si="80"/>
        <v>0.68935794135668405</v>
      </c>
      <c r="Y65" s="30">
        <f t="shared" si="80"/>
        <v>0.97489934999621919</v>
      </c>
      <c r="Z65" s="30">
        <f t="shared" si="80"/>
        <v>1.2258710332614104</v>
      </c>
      <c r="AA65" s="30">
        <f t="shared" si="80"/>
        <v>1.2896706167042571</v>
      </c>
      <c r="AB65" s="30">
        <f t="shared" si="80"/>
        <v>1.5414512177028594</v>
      </c>
      <c r="AC65" s="30">
        <f t="shared" si="80"/>
        <v>2.1799412178119058</v>
      </c>
      <c r="AE65">
        <v>42.000003</v>
      </c>
      <c r="AH65" s="36">
        <f>100*(V65-V36)/V36</f>
        <v>46.804877876462783</v>
      </c>
      <c r="AI65" s="36">
        <f t="shared" ref="AI65:AL65" si="81">100*(W65-W36)/W36</f>
        <v>-11.372786363980081</v>
      </c>
      <c r="AJ65" s="36">
        <f t="shared" si="81"/>
        <v>-23.404673182590663</v>
      </c>
      <c r="AK65" s="36">
        <f t="shared" si="81"/>
        <v>-22.008052000302463</v>
      </c>
      <c r="AL65" s="36">
        <f t="shared" si="81"/>
        <v>-18.275264449239305</v>
      </c>
      <c r="AM65" s="36">
        <f t="shared" si="36"/>
        <v>-14.021958886382862</v>
      </c>
      <c r="AN65" s="36">
        <f t="shared" si="37"/>
        <v>-11.917073274122318</v>
      </c>
      <c r="AO65" s="36">
        <f t="shared" si="42"/>
        <v>-18.765193999028128</v>
      </c>
      <c r="AP65" s="36">
        <f t="shared" si="43"/>
        <v>18.765193999028128</v>
      </c>
    </row>
    <row r="66" spans="1:59" x14ac:dyDescent="0.25">
      <c r="AO66" s="47">
        <f>AVERAGE(AO43,AO44,AO46:AO51,AO53,AO55:AO60,AO62,AO64,AO65)</f>
        <v>-11.359517678541289</v>
      </c>
      <c r="AP66" s="47">
        <f>AVERAGE(AP43,AP44,AP46:AP51,AP53,AP55:AP60,AP62,AP64,AP65)</f>
        <v>24.846740314395916</v>
      </c>
      <c r="AQ66" s="47">
        <f>SUM(AP43,AP44,AP46:AP51,AP53,AP55:AP60,AP62,AP64,AP65)</f>
        <v>447.24132565912646</v>
      </c>
    </row>
    <row r="67" spans="1:59" x14ac:dyDescent="0.25">
      <c r="P67">
        <f>AVERAGE(P43,P44,P46,P48,P49,P50,P51,P53,P55,P56,P57,P58,P59,P60,P62,P65)</f>
        <v>12.548307079245518</v>
      </c>
      <c r="Q67">
        <f>_xlfn.STDEV.P(P43,P44,P46,P48,P49,P50,P51,P53,P55,P56,P57,P58,P59,P60,P62,P65)</f>
        <v>12.362844875436354</v>
      </c>
      <c r="R67" s="30">
        <f>P67/Q67</f>
        <v>1.0150015797882943</v>
      </c>
      <c r="AO67" s="47">
        <f>_xlfn.STDEV.P(AO43,AO44,AO46:AO51,AO53,AO55:AO60,AO62,AO64,AO65)</f>
        <v>26.391554725640034</v>
      </c>
      <c r="AP67" s="47">
        <f>_xlfn.STDEV.P(AP43,AP44,AP46:AP51,AP53,AP55:AP60,AP62,AP64,AP65)</f>
        <v>14.428870311792185</v>
      </c>
      <c r="AQ67" s="48"/>
    </row>
    <row r="68" spans="1:59" x14ac:dyDescent="0.25">
      <c r="AO68">
        <f>_xlfn.STDEV.S(AO43,AO44,AO46:AO51,AO53,AO55:AO60,AO62,AO64,AO65)</f>
        <v>27.156685770950155</v>
      </c>
      <c r="AP68" s="36">
        <f>AP66/AP67</f>
        <v>1.722015637917931</v>
      </c>
      <c r="AQ68" s="47">
        <f>AO67*AP66</f>
        <v>655.74410676114633</v>
      </c>
    </row>
    <row r="69" spans="1:59" x14ac:dyDescent="0.25">
      <c r="A69" t="s">
        <v>0</v>
      </c>
      <c r="U69" s="34" t="s">
        <v>129</v>
      </c>
      <c r="V69" s="36">
        <v>1.2708023319393178</v>
      </c>
      <c r="W69" s="36">
        <v>1.9638101809851434</v>
      </c>
      <c r="X69" s="36">
        <v>2.7295355508631278</v>
      </c>
      <c r="Y69" s="36">
        <v>3.7938311938520504</v>
      </c>
      <c r="Z69" s="36">
        <v>4.716162439501157</v>
      </c>
      <c r="AA69" s="36">
        <v>4.9490412792865719</v>
      </c>
      <c r="AB69" s="36">
        <v>5.8627247811671781</v>
      </c>
      <c r="AC69" s="36">
        <v>8.1487079912654394</v>
      </c>
      <c r="AD69" s="36"/>
      <c r="AE69" s="36">
        <v>6</v>
      </c>
      <c r="AF69" s="36"/>
      <c r="AG69" s="36"/>
      <c r="AH69" s="36">
        <v>5.9001943282764868</v>
      </c>
      <c r="AI69" s="36">
        <v>-18.17457579228569</v>
      </c>
      <c r="AJ69" s="36">
        <v>-22.013269975339206</v>
      </c>
      <c r="AK69" s="36">
        <v>-24.123376122958994</v>
      </c>
      <c r="AL69" s="36">
        <v>-21.397292674980719</v>
      </c>
      <c r="AO69">
        <f>_xlfn.STDEV.P(AO43,AO46,AO47,AO48,AO50,AO51,AO53,AO55,AO56,AO57,AO58,AO59,AO60,AO62,AO64,AO65)</f>
        <v>20.956390561940683</v>
      </c>
      <c r="AP69" s="36">
        <f t="shared" ref="AP69:AP91" si="82">ABS(AVERAGE(AI69:AL69))</f>
        <v>21.42712864139115</v>
      </c>
      <c r="AQ69">
        <f>AO66*AO67*AP66*AP67/10000</f>
        <v>-10.747974266344308</v>
      </c>
    </row>
    <row r="70" spans="1:59" x14ac:dyDescent="0.25">
      <c r="A70" t="s">
        <v>2</v>
      </c>
      <c r="V70" s="36">
        <v>1.4644346885641477</v>
      </c>
      <c r="W70" s="36">
        <v>2.2630362555294767</v>
      </c>
      <c r="X70" s="36">
        <v>3.1454353237241977</v>
      </c>
      <c r="Y70" s="36">
        <v>4.3718978657799408</v>
      </c>
      <c r="Z70" s="36">
        <v>5.4347648723378335</v>
      </c>
      <c r="AA70" s="36">
        <v>5.7031274985646006</v>
      </c>
      <c r="AB70" s="36">
        <v>6.7560291032388804</v>
      </c>
      <c r="AC70" s="36">
        <v>9.3903279443768053</v>
      </c>
      <c r="AD70" s="36"/>
      <c r="AE70" s="36">
        <v>1</v>
      </c>
      <c r="AF70" s="36"/>
      <c r="AG70" s="36"/>
      <c r="AH70" s="36">
        <v>343.76808744368111</v>
      </c>
      <c r="AI70" s="36">
        <v>138.21434268731335</v>
      </c>
      <c r="AJ70" s="36">
        <v>124.67395169458557</v>
      </c>
      <c r="AK70" s="36">
        <v>118.59489328899704</v>
      </c>
      <c r="AL70" s="36">
        <v>136.29412488425365</v>
      </c>
      <c r="AP70" s="36">
        <f t="shared" si="82"/>
        <v>129.4443281387874</v>
      </c>
    </row>
    <row r="71" spans="1:59" s="37" customFormat="1" x14ac:dyDescent="0.25">
      <c r="A71" s="37" t="s">
        <v>5</v>
      </c>
      <c r="V71" s="38">
        <v>0.92618982008440842</v>
      </c>
      <c r="W71" s="38">
        <v>1.4312697990023928</v>
      </c>
      <c r="X71" s="38">
        <v>1.9893479711435049</v>
      </c>
      <c r="Y71" s="38">
        <v>2.7650309906987447</v>
      </c>
      <c r="Z71" s="38">
        <v>3.4372471088123571</v>
      </c>
      <c r="AA71" s="38">
        <v>3.6069745363605614</v>
      </c>
      <c r="AB71" s="38">
        <v>4.2728879809239446</v>
      </c>
      <c r="AC71" s="38">
        <v>5.9389648560315269</v>
      </c>
      <c r="AD71" s="38"/>
      <c r="AE71" s="38">
        <v>1.5</v>
      </c>
      <c r="AF71" s="38"/>
      <c r="AG71" s="38"/>
      <c r="AH71" s="38">
        <v>2472.7495002344681</v>
      </c>
      <c r="AI71" s="38">
        <v>1603.8926178599913</v>
      </c>
      <c r="AJ71" s="38">
        <v>1320.962836531075</v>
      </c>
      <c r="AK71" s="38">
        <v>1282.5154953493723</v>
      </c>
      <c r="AL71" s="38">
        <v>1332.1862953384823</v>
      </c>
      <c r="AP71" s="38">
        <f t="shared" si="82"/>
        <v>1384.8893112697303</v>
      </c>
      <c r="BG71" s="39"/>
    </row>
    <row r="72" spans="1:59" x14ac:dyDescent="0.25">
      <c r="A72" t="s">
        <v>1</v>
      </c>
      <c r="V72" s="36">
        <v>1.2213658655244413</v>
      </c>
      <c r="W72" s="36">
        <v>1.8874144791380205</v>
      </c>
      <c r="X72" s="36">
        <v>2.6233517729481686</v>
      </c>
      <c r="Y72" s="36">
        <v>3.6462444262763567</v>
      </c>
      <c r="Z72" s="36">
        <v>4.5326953493112132</v>
      </c>
      <c r="AA72" s="36">
        <v>4.7565147888638499</v>
      </c>
      <c r="AB72" s="36">
        <v>5.6346543807127389</v>
      </c>
      <c r="AC72" s="36">
        <v>7.8317087862670762</v>
      </c>
      <c r="AD72" s="36"/>
      <c r="AE72" s="36">
        <v>5</v>
      </c>
      <c r="AF72" s="36"/>
      <c r="AG72" s="36"/>
      <c r="AH72" s="36">
        <v>52.670733190555147</v>
      </c>
      <c r="AI72" s="36">
        <v>25.827631942534698</v>
      </c>
      <c r="AJ72" s="36">
        <v>9.3063238728403608</v>
      </c>
      <c r="AK72" s="36">
        <v>4.1784121793244768</v>
      </c>
      <c r="AL72" s="36">
        <v>7.9213178407431659</v>
      </c>
      <c r="AP72" s="36">
        <f t="shared" si="82"/>
        <v>11.808421458860675</v>
      </c>
    </row>
    <row r="73" spans="1:59" x14ac:dyDescent="0.25">
      <c r="A73" t="s">
        <v>65</v>
      </c>
      <c r="V73" s="36">
        <v>0.72446879451794377</v>
      </c>
      <c r="W73" s="36">
        <v>1.1195440539593755</v>
      </c>
      <c r="X73" s="36">
        <v>1.5560746785142883</v>
      </c>
      <c r="Y73" s="36">
        <v>2.1628165471023157</v>
      </c>
      <c r="Z73" s="36">
        <v>2.6886262571474098</v>
      </c>
      <c r="AA73" s="36">
        <v>2.8213876222218746</v>
      </c>
      <c r="AB73" s="36">
        <v>3.3422673598032691</v>
      </c>
      <c r="AC73" s="36">
        <v>4.6454782989749077</v>
      </c>
      <c r="AD73" s="36"/>
      <c r="AE73" s="36">
        <v>10</v>
      </c>
      <c r="AF73" s="36"/>
      <c r="AG73" s="36"/>
      <c r="AH73" s="36">
        <v>1241.6088787369326</v>
      </c>
      <c r="AI73" s="36">
        <v>788.52702695188532</v>
      </c>
      <c r="AJ73" s="36">
        <v>640.98794214966108</v>
      </c>
      <c r="AK73" s="36">
        <v>620.93884903410526</v>
      </c>
      <c r="AL73" s="36">
        <v>646.84062698539174</v>
      </c>
      <c r="AP73" s="36">
        <f t="shared" si="82"/>
        <v>674.32361128026082</v>
      </c>
    </row>
    <row r="74" spans="1:59" x14ac:dyDescent="0.25">
      <c r="A74" t="s">
        <v>44</v>
      </c>
      <c r="V74" s="36">
        <v>1.062112087845033</v>
      </c>
      <c r="W74" s="36">
        <v>1.6413146868202799</v>
      </c>
      <c r="X74" s="36">
        <v>2.2812931877063258</v>
      </c>
      <c r="Y74" s="36">
        <v>3.170810966395226</v>
      </c>
      <c r="Z74" s="36">
        <v>3.9416776388745935</v>
      </c>
      <c r="AA74" s="36">
        <v>4.1363132832410594</v>
      </c>
      <c r="AB74" s="36">
        <v>4.8999523382080366</v>
      </c>
      <c r="AC74" s="36">
        <v>6.810533031234411</v>
      </c>
      <c r="AD74" s="36"/>
      <c r="AE74" s="36">
        <v>8</v>
      </c>
      <c r="AF74" s="36"/>
      <c r="AG74" s="36"/>
      <c r="AH74" s="36">
        <v>112.4224175690066</v>
      </c>
      <c r="AI74" s="36">
        <v>49.21042607457089</v>
      </c>
      <c r="AJ74" s="36">
        <v>52.086212513755051</v>
      </c>
      <c r="AK74" s="36">
        <v>44.127771199782991</v>
      </c>
      <c r="AL74" s="36">
        <v>51.602986110561289</v>
      </c>
      <c r="AP74" s="36">
        <f t="shared" si="82"/>
        <v>49.256848974667555</v>
      </c>
    </row>
    <row r="75" spans="1:59" x14ac:dyDescent="0.25">
      <c r="A75" t="s">
        <v>38</v>
      </c>
      <c r="V75" s="36">
        <v>0.95649616938740856</v>
      </c>
      <c r="W75" s="36">
        <v>1.4781031387074743</v>
      </c>
      <c r="X75" s="36">
        <v>2.0544424832956634</v>
      </c>
      <c r="Y75" s="36">
        <v>2.855507039150778</v>
      </c>
      <c r="Z75" s="36">
        <v>3.5497190980973405</v>
      </c>
      <c r="AA75" s="36">
        <v>3.7250002669996736</v>
      </c>
      <c r="AB75" s="36">
        <v>4.4127034192653749</v>
      </c>
      <c r="AC75" s="36">
        <v>6.1332968811975235</v>
      </c>
      <c r="AD75" s="36"/>
      <c r="AE75" s="36">
        <v>18</v>
      </c>
      <c r="AF75" s="36"/>
      <c r="AG75" s="36"/>
      <c r="AH75" s="36">
        <v>42.760622296628135</v>
      </c>
      <c r="AI75" s="36">
        <v>23.175261558956201</v>
      </c>
      <c r="AJ75" s="36">
        <v>12.264616573533512</v>
      </c>
      <c r="AK75" s="36">
        <v>14.220281566031119</v>
      </c>
      <c r="AL75" s="36">
        <v>10.928721815541886</v>
      </c>
      <c r="AP75" s="36">
        <f t="shared" si="82"/>
        <v>15.147220378515678</v>
      </c>
    </row>
    <row r="76" spans="1:59" x14ac:dyDescent="0.25">
      <c r="A76" t="s">
        <v>6</v>
      </c>
      <c r="V76" s="36">
        <v>1.2118855214053654</v>
      </c>
      <c r="W76" s="36">
        <v>1.8727642099086022</v>
      </c>
      <c r="X76" s="36">
        <v>2.6029890968206044</v>
      </c>
      <c r="Y76" s="36">
        <v>3.6179419717219066</v>
      </c>
      <c r="Z76" s="36">
        <v>4.4975121884653406</v>
      </c>
      <c r="AA76" s="36">
        <v>4.7195943227866852</v>
      </c>
      <c r="AB76" s="36">
        <v>5.5909177215927652</v>
      </c>
      <c r="AC76" s="36">
        <v>7.770918406881191</v>
      </c>
      <c r="AD76" s="36"/>
      <c r="AE76" s="36">
        <v>6</v>
      </c>
      <c r="AF76" s="36"/>
      <c r="AG76" s="36"/>
      <c r="AH76" s="36">
        <v>27.566896990038472</v>
      </c>
      <c r="AI76" s="36">
        <v>1.2304978328974088</v>
      </c>
      <c r="AJ76" s="36">
        <v>-7.0361036849784071</v>
      </c>
      <c r="AK76" s="36">
        <v>-9.5514507069523358</v>
      </c>
      <c r="AL76" s="36">
        <v>-5.3155328744138819</v>
      </c>
      <c r="AP76" s="36">
        <f t="shared" si="82"/>
        <v>5.1681473583618045</v>
      </c>
    </row>
    <row r="77" spans="1:59" x14ac:dyDescent="0.25">
      <c r="A77" t="s">
        <v>8</v>
      </c>
      <c r="V77" s="36">
        <v>1.049427055714254</v>
      </c>
      <c r="W77" s="36">
        <v>1.6217121140058817</v>
      </c>
      <c r="X77" s="36">
        <v>2.2540472145958077</v>
      </c>
      <c r="Y77" s="36">
        <v>3.1329412919515827</v>
      </c>
      <c r="Z77" s="36">
        <v>3.8946013386700216</v>
      </c>
      <c r="AA77" s="36">
        <v>4.0869124078519672</v>
      </c>
      <c r="AB77" s="36">
        <v>4.8414311580418588</v>
      </c>
      <c r="AC77" s="36">
        <v>6.7291933766747647</v>
      </c>
      <c r="AD77" s="36"/>
      <c r="AE77" s="36">
        <v>8.8000001999999995</v>
      </c>
      <c r="AF77" s="36"/>
      <c r="AG77" s="36"/>
      <c r="AH77" s="36">
        <v>101.81289532966423</v>
      </c>
      <c r="AI77" s="36">
        <v>47.428374000534681</v>
      </c>
      <c r="AJ77" s="36">
        <v>45.422400941665011</v>
      </c>
      <c r="AK77" s="36">
        <v>36.214838780503605</v>
      </c>
      <c r="AL77" s="36">
        <v>39.092904952500774</v>
      </c>
      <c r="AP77" s="36">
        <f t="shared" si="82"/>
        <v>42.039629668801012</v>
      </c>
    </row>
    <row r="78" spans="1:59" s="37" customFormat="1" x14ac:dyDescent="0.25">
      <c r="A78" s="37" t="s">
        <v>53</v>
      </c>
      <c r="V78" s="38">
        <v>0.998611318300337</v>
      </c>
      <c r="W78" s="38">
        <v>1.5431849819888757</v>
      </c>
      <c r="X78" s="38">
        <v>2.1449009230534064</v>
      </c>
      <c r="Y78" s="38">
        <v>2.9812368727085761</v>
      </c>
      <c r="Z78" s="38">
        <v>3.7060155404669755</v>
      </c>
      <c r="AA78" s="38">
        <v>3.8890144533250228</v>
      </c>
      <c r="AB78" s="38">
        <v>4.6069976230048129</v>
      </c>
      <c r="AC78" s="38">
        <v>6.4033499349847283</v>
      </c>
      <c r="AD78" s="38"/>
      <c r="AE78" s="38">
        <v>3.0000003999999998</v>
      </c>
      <c r="AF78" s="38"/>
      <c r="AG78" s="38"/>
      <c r="AH78" s="38">
        <v>824.64010953734908</v>
      </c>
      <c r="AI78" s="38">
        <v>512.3749928527285</v>
      </c>
      <c r="AJ78" s="38">
        <v>410.69069596509684</v>
      </c>
      <c r="AK78" s="38">
        <v>396.87281211809602</v>
      </c>
      <c r="AL78" s="38">
        <v>414.72438062041323</v>
      </c>
      <c r="AP78" s="38">
        <f t="shared" si="82"/>
        <v>433.66572038908362</v>
      </c>
      <c r="BG78" s="39"/>
    </row>
    <row r="79" spans="1:59" x14ac:dyDescent="0.25">
      <c r="A79" t="s">
        <v>9</v>
      </c>
      <c r="V79" s="36">
        <v>1.2833331428240864</v>
      </c>
      <c r="W79" s="36">
        <v>1.983174430934193</v>
      </c>
      <c r="X79" s="36">
        <v>2.7564502746808928</v>
      </c>
      <c r="Y79" s="36">
        <v>3.8312404588683866</v>
      </c>
      <c r="Z79" s="36">
        <v>4.7626663985716853</v>
      </c>
      <c r="AA79" s="36">
        <v>4.9978415519749406</v>
      </c>
      <c r="AB79" s="36">
        <v>5.9205344763934535</v>
      </c>
      <c r="AC79" s="36">
        <v>8.229058739943973</v>
      </c>
      <c r="AD79" s="36"/>
      <c r="AE79" s="36">
        <v>2.6000006</v>
      </c>
      <c r="AF79" s="36"/>
      <c r="AG79" s="36"/>
      <c r="AH79" s="36">
        <v>133.33329869528842</v>
      </c>
      <c r="AI79" s="36">
        <v>80.288584630381166</v>
      </c>
      <c r="AJ79" s="36">
        <v>72.278142167555785</v>
      </c>
      <c r="AK79" s="36">
        <v>66.575672124712469</v>
      </c>
      <c r="AL79" s="36">
        <v>76.3950517989513</v>
      </c>
      <c r="AP79" s="36">
        <f t="shared" si="82"/>
        <v>73.884362680400187</v>
      </c>
    </row>
    <row r="80" spans="1:59" s="37" customFormat="1" x14ac:dyDescent="0.25">
      <c r="A80" s="37" t="s">
        <v>51</v>
      </c>
      <c r="V80" s="38">
        <v>0.80210391291963645</v>
      </c>
      <c r="W80" s="38">
        <v>1.2395160056055197</v>
      </c>
      <c r="X80" s="38">
        <v>1.7228258799773077</v>
      </c>
      <c r="Y80" s="38">
        <v>2.3945870801963669</v>
      </c>
      <c r="Z80" s="38">
        <v>2.9767433153161158</v>
      </c>
      <c r="AA80" s="38">
        <v>3.1237315792918436</v>
      </c>
      <c r="AB80" s="38">
        <v>3.7004295390053339</v>
      </c>
      <c r="AC80" s="38">
        <v>5.1432944375062934</v>
      </c>
      <c r="AD80" s="38"/>
      <c r="AE80" s="38">
        <v>3.2000008000000002</v>
      </c>
      <c r="AF80" s="38"/>
      <c r="AG80" s="38"/>
      <c r="AH80" s="38">
        <v>2685.0830309709595</v>
      </c>
      <c r="AI80" s="38">
        <v>1744.5178654844044</v>
      </c>
      <c r="AJ80" s="38">
        <v>1438.237392836882</v>
      </c>
      <c r="AK80" s="38">
        <v>1396.6169251227291</v>
      </c>
      <c r="AL80" s="38">
        <v>1450.38714339381</v>
      </c>
      <c r="AP80" s="38">
        <f t="shared" si="82"/>
        <v>1507.4398317094565</v>
      </c>
      <c r="BG80" s="39"/>
    </row>
    <row r="81" spans="1:59" x14ac:dyDescent="0.25">
      <c r="A81" t="s">
        <v>39</v>
      </c>
      <c r="V81" s="36">
        <v>0.82987408560220766</v>
      </c>
      <c r="W81" s="36">
        <v>1.2824301130721976</v>
      </c>
      <c r="X81" s="36">
        <v>1.7824729798335155</v>
      </c>
      <c r="Y81" s="36">
        <v>2.4774916710472654</v>
      </c>
      <c r="Z81" s="36">
        <v>3.0798031241096182</v>
      </c>
      <c r="AA81" s="36">
        <v>3.2318803664672857</v>
      </c>
      <c r="AB81" s="36">
        <v>3.8285445695427316</v>
      </c>
      <c r="AC81" s="36">
        <v>5.32136385268588</v>
      </c>
      <c r="AD81" s="36"/>
      <c r="AE81" s="36">
        <v>20.000001000000001</v>
      </c>
      <c r="AF81" s="36"/>
      <c r="AG81" s="36"/>
      <c r="AH81" s="36">
        <v>260.81481982704679</v>
      </c>
      <c r="AI81" s="36">
        <v>133.16911146767225</v>
      </c>
      <c r="AJ81" s="36">
        <v>98.052553314835052</v>
      </c>
      <c r="AK81" s="36">
        <v>98.199333683781234</v>
      </c>
      <c r="AL81" s="36">
        <v>112.40021545583575</v>
      </c>
      <c r="AP81" s="36">
        <f t="shared" si="82"/>
        <v>110.45530348053107</v>
      </c>
    </row>
    <row r="82" spans="1:59" x14ac:dyDescent="0.25">
      <c r="A82" t="s">
        <v>10</v>
      </c>
      <c r="V82" s="36">
        <v>0.85161859368980941</v>
      </c>
      <c r="W82" s="36">
        <v>1.3160325745169923</v>
      </c>
      <c r="X82" s="36">
        <v>1.8291776532271855</v>
      </c>
      <c r="Y82" s="36">
        <v>2.5424073475489126</v>
      </c>
      <c r="Z82" s="36">
        <v>3.1605006722103357</v>
      </c>
      <c r="AA82" s="36">
        <v>3.3165626694648704</v>
      </c>
      <c r="AB82" s="36">
        <v>3.9288607738928829</v>
      </c>
      <c r="AC82" s="36">
        <v>5.4607951728575825</v>
      </c>
      <c r="AD82" s="36"/>
      <c r="AE82" s="36">
        <v>24.0000012</v>
      </c>
      <c r="AF82" s="36"/>
      <c r="AG82" s="36"/>
      <c r="AH82" s="36">
        <v>325.80929684490468</v>
      </c>
      <c r="AI82" s="36">
        <v>163.20651490339847</v>
      </c>
      <c r="AJ82" s="36">
        <v>52.431471102265462</v>
      </c>
      <c r="AK82" s="36">
        <v>27.120367377445632</v>
      </c>
      <c r="AL82" s="36">
        <v>50.670957711905075</v>
      </c>
      <c r="AP82" s="36">
        <f t="shared" si="82"/>
        <v>73.357327773753667</v>
      </c>
    </row>
    <row r="83" spans="1:59" x14ac:dyDescent="0.25">
      <c r="A83" t="s">
        <v>37</v>
      </c>
      <c r="V83" s="36">
        <v>1.0743347236420664</v>
      </c>
      <c r="W83" s="36">
        <v>1.6602027042667524</v>
      </c>
      <c r="X83" s="36">
        <v>2.3075459872918778</v>
      </c>
      <c r="Y83" s="36">
        <v>3.2073002108610544</v>
      </c>
      <c r="Z83" s="36">
        <v>3.9870379080595764</v>
      </c>
      <c r="AA83" s="36">
        <v>4.1839133919132649</v>
      </c>
      <c r="AB83" s="36">
        <v>4.9563402971985546</v>
      </c>
      <c r="AC83" s="36">
        <v>6.8889076828150548</v>
      </c>
      <c r="AD83" s="36"/>
      <c r="AE83" s="36">
        <v>7.0000014000000004</v>
      </c>
      <c r="AF83" s="36"/>
      <c r="AG83" s="36"/>
      <c r="AH83" s="36">
        <v>114.86694472841327</v>
      </c>
      <c r="AI83" s="36">
        <v>58.114543263500224</v>
      </c>
      <c r="AJ83" s="36">
        <v>53.836399152791849</v>
      </c>
      <c r="AK83" s="36">
        <v>52.728581469574017</v>
      </c>
      <c r="AL83" s="36">
        <v>62.736241145288822</v>
      </c>
      <c r="AP83" s="36">
        <f t="shared" si="82"/>
        <v>56.853941257788726</v>
      </c>
    </row>
    <row r="84" spans="1:59" x14ac:dyDescent="0.25">
      <c r="A84" t="s">
        <v>52</v>
      </c>
      <c r="V84" s="36">
        <v>1.0445359365757507</v>
      </c>
      <c r="W84" s="36">
        <v>1.6141537161975099</v>
      </c>
      <c r="X84" s="36">
        <v>2.2435416597691353</v>
      </c>
      <c r="Y84" s="36">
        <v>3.1183394298884379</v>
      </c>
      <c r="Z84" s="36">
        <v>3.8764495681008473</v>
      </c>
      <c r="AA84" s="36">
        <v>4.0678643231026888</v>
      </c>
      <c r="AB84" s="36">
        <v>4.8188664485978778</v>
      </c>
      <c r="AC84" s="36">
        <v>6.6978302758931267</v>
      </c>
      <c r="AD84" s="36"/>
      <c r="AE84" s="36">
        <v>12.4000016</v>
      </c>
      <c r="AF84" s="36"/>
      <c r="AG84" s="36"/>
      <c r="AH84" s="36">
        <v>22.886580773617734</v>
      </c>
      <c r="AI84" s="36">
        <v>15.296694014107858</v>
      </c>
      <c r="AJ84" s="36">
        <v>-3.7106583790070702</v>
      </c>
      <c r="AK84" s="36">
        <v>-5.504865760956422</v>
      </c>
      <c r="AL84" s="36">
        <v>-5.4524495585159114</v>
      </c>
      <c r="AP84" s="36">
        <f t="shared" si="82"/>
        <v>0.15718007890711383</v>
      </c>
    </row>
    <row r="85" spans="1:59" x14ac:dyDescent="0.25">
      <c r="A85" t="s">
        <v>45</v>
      </c>
      <c r="V85" s="36">
        <v>0.98853028605369808</v>
      </c>
      <c r="W85" s="36">
        <v>1.5276064508017497</v>
      </c>
      <c r="X85" s="36">
        <v>2.1232480387180384</v>
      </c>
      <c r="Y85" s="36">
        <v>2.9511411342587084</v>
      </c>
      <c r="Z85" s="36">
        <v>3.668603124359394</v>
      </c>
      <c r="AA85" s="36">
        <v>3.8497546538483425</v>
      </c>
      <c r="AB85" s="36">
        <v>4.5604897467704957</v>
      </c>
      <c r="AC85" s="36">
        <v>6.3387077904404778</v>
      </c>
      <c r="AD85" s="36"/>
      <c r="AE85" s="36">
        <v>12.0000018</v>
      </c>
      <c r="AF85" s="36"/>
      <c r="AG85" s="36"/>
      <c r="AH85" s="36">
        <v>129.89076419853441</v>
      </c>
      <c r="AI85" s="36">
        <v>57.485201113582448</v>
      </c>
      <c r="AJ85" s="36">
        <v>41.549869247869225</v>
      </c>
      <c r="AK85" s="36">
        <v>34.142778829941285</v>
      </c>
      <c r="AL85" s="36">
        <v>38.437853749411097</v>
      </c>
      <c r="AP85" s="36">
        <f t="shared" si="82"/>
        <v>42.903925735201014</v>
      </c>
    </row>
    <row r="86" spans="1:59" x14ac:dyDescent="0.25">
      <c r="A86" t="s">
        <v>3</v>
      </c>
      <c r="V86" s="36">
        <v>1.0873113978611806</v>
      </c>
      <c r="W86" s="36">
        <v>1.6802559606279792</v>
      </c>
      <c r="X86" s="36">
        <v>2.3354183736755161</v>
      </c>
      <c r="Y86" s="36">
        <v>3.246040548526159</v>
      </c>
      <c r="Z86" s="36">
        <v>4.0351965413919801</v>
      </c>
      <c r="AA86" s="36">
        <v>4.2344500448325624</v>
      </c>
      <c r="AB86" s="36">
        <v>5.0162069401920677</v>
      </c>
      <c r="AC86" s="36">
        <v>6.9721174206725349</v>
      </c>
      <c r="AD86" s="36"/>
      <c r="AE86" s="36">
        <v>3.0000002000000001</v>
      </c>
      <c r="AF86" s="36"/>
      <c r="AG86" s="36"/>
      <c r="AH86" s="36">
        <v>504.06188770065592</v>
      </c>
      <c r="AI86" s="36">
        <v>300.06094300666177</v>
      </c>
      <c r="AJ86" s="36">
        <v>233.63119623935947</v>
      </c>
      <c r="AK86" s="36">
        <v>224.60405485261589</v>
      </c>
      <c r="AL86" s="36">
        <v>236.26637844933168</v>
      </c>
      <c r="AP86" s="36">
        <f t="shared" si="82"/>
        <v>248.64064313699222</v>
      </c>
    </row>
    <row r="87" spans="1:59" s="37" customFormat="1" x14ac:dyDescent="0.25">
      <c r="A87" s="37" t="s">
        <v>4</v>
      </c>
      <c r="V87" s="38">
        <v>1.0036421376376923</v>
      </c>
      <c r="W87" s="38">
        <v>1.5509592628389264</v>
      </c>
      <c r="X87" s="38">
        <v>2.1557065376530633</v>
      </c>
      <c r="Y87" s="38">
        <v>2.9962557933172329</v>
      </c>
      <c r="Z87" s="38">
        <v>3.724685762107617</v>
      </c>
      <c r="AA87" s="38">
        <v>3.9086065896812801</v>
      </c>
      <c r="AB87" s="38">
        <v>4.6302068259291405</v>
      </c>
      <c r="AC87" s="38">
        <v>6.4356088289972693</v>
      </c>
      <c r="AD87" s="38"/>
      <c r="AE87" s="38">
        <v>3.0000022</v>
      </c>
      <c r="AF87" s="38"/>
      <c r="AG87" s="38"/>
      <c r="AH87" s="38">
        <v>895.67672384691696</v>
      </c>
      <c r="AI87" s="38">
        <v>559.4214552886591</v>
      </c>
      <c r="AJ87" s="38">
        <v>449.9251371563937</v>
      </c>
      <c r="AK87" s="38">
        <v>435.04567737807724</v>
      </c>
      <c r="AL87" s="38">
        <v>454.26871459934773</v>
      </c>
      <c r="AP87" s="38">
        <f t="shared" si="82"/>
        <v>474.66524610561942</v>
      </c>
      <c r="BG87" s="39"/>
    </row>
    <row r="88" spans="1:59" x14ac:dyDescent="0.25">
      <c r="A88" t="s">
        <v>40</v>
      </c>
      <c r="V88" s="36">
        <v>0.77859844660534328</v>
      </c>
      <c r="W88" s="36">
        <v>1.203192280902899</v>
      </c>
      <c r="X88" s="36">
        <v>1.6723388732005979</v>
      </c>
      <c r="Y88" s="36">
        <v>2.3244142696121144</v>
      </c>
      <c r="Z88" s="36">
        <v>2.8895105533292402</v>
      </c>
      <c r="AA88" s="36">
        <v>3.0321913608372619</v>
      </c>
      <c r="AB88" s="36">
        <v>3.5919893226237689</v>
      </c>
      <c r="AC88" s="36">
        <v>4.9925714049939112</v>
      </c>
      <c r="AD88" s="36"/>
      <c r="AE88" s="36">
        <v>24.0000024</v>
      </c>
      <c r="AF88" s="36"/>
      <c r="AG88" s="36"/>
      <c r="AH88" s="36">
        <v>332.5546925585241</v>
      </c>
      <c r="AI88" s="36">
        <v>167.37606242286643</v>
      </c>
      <c r="AJ88" s="36">
        <v>138.90555331437113</v>
      </c>
      <c r="AK88" s="36">
        <v>121.37278758210613</v>
      </c>
      <c r="AL88" s="36">
        <v>140.79254611077002</v>
      </c>
      <c r="AP88" s="36">
        <f t="shared" si="82"/>
        <v>142.11173735752843</v>
      </c>
    </row>
    <row r="89" spans="1:59" s="37" customFormat="1" x14ac:dyDescent="0.25">
      <c r="A89" s="37" t="s">
        <v>12</v>
      </c>
      <c r="V89" s="38">
        <v>0.96314628077694042</v>
      </c>
      <c r="W89" s="38">
        <v>1.488379761690624</v>
      </c>
      <c r="X89" s="38">
        <v>2.0687261488183935</v>
      </c>
      <c r="Y89" s="38">
        <v>2.8753601661069546</v>
      </c>
      <c r="Z89" s="38">
        <v>3.5743987864843989</v>
      </c>
      <c r="AA89" s="38">
        <v>3.750898610865963</v>
      </c>
      <c r="AB89" s="38">
        <v>4.4433830709004427</v>
      </c>
      <c r="AC89" s="38">
        <v>6.1759390879835205</v>
      </c>
      <c r="AD89" s="38"/>
      <c r="AE89" s="38">
        <v>5.0000026000000002</v>
      </c>
      <c r="AF89" s="38"/>
      <c r="AG89" s="38"/>
      <c r="AH89" s="38">
        <v>613.44168946440027</v>
      </c>
      <c r="AI89" s="38">
        <v>372.50151164781721</v>
      </c>
      <c r="AJ89" s="38">
        <v>294.04307596540832</v>
      </c>
      <c r="AK89" s="38">
        <v>283.38135548092731</v>
      </c>
      <c r="AL89" s="38">
        <v>297.15542072048879</v>
      </c>
      <c r="AP89" s="38">
        <f t="shared" si="82"/>
        <v>311.77034095366042</v>
      </c>
      <c r="BG89" s="39"/>
    </row>
    <row r="90" spans="1:59" x14ac:dyDescent="0.25">
      <c r="A90" t="s">
        <v>7</v>
      </c>
      <c r="V90" s="36">
        <v>1.0136749497233253</v>
      </c>
      <c r="W90" s="36">
        <v>1.5664632779186041</v>
      </c>
      <c r="X90" s="36">
        <v>2.177255850693018</v>
      </c>
      <c r="Y90" s="36">
        <v>3.0262075761365517</v>
      </c>
      <c r="Z90" s="36">
        <v>3.7619192250401476</v>
      </c>
      <c r="AA90" s="36">
        <v>3.9476785994747701</v>
      </c>
      <c r="AB90" s="36">
        <v>4.6764922430714533</v>
      </c>
      <c r="AC90" s="36">
        <v>6.4999417735963716</v>
      </c>
      <c r="AD90" s="36"/>
      <c r="AE90" s="36">
        <v>4.8000027999999997</v>
      </c>
      <c r="AF90" s="36"/>
      <c r="AG90" s="36"/>
      <c r="AH90" s="36">
        <v>382.70235701110732</v>
      </c>
      <c r="AI90" s="36">
        <v>233.29005913161791</v>
      </c>
      <c r="AJ90" s="36">
        <v>198.25422612233123</v>
      </c>
      <c r="AK90" s="36">
        <v>188.21024534633824</v>
      </c>
      <c r="AL90" s="36">
        <v>199.75689891820369</v>
      </c>
      <c r="AP90" s="36">
        <f t="shared" si="82"/>
        <v>204.87785737962275</v>
      </c>
    </row>
    <row r="91" spans="1:59" x14ac:dyDescent="0.25">
      <c r="A91" t="s">
        <v>11</v>
      </c>
      <c r="V91" s="36">
        <v>0.73469022313598487</v>
      </c>
      <c r="W91" s="36">
        <v>1.1353395440051717</v>
      </c>
      <c r="X91" s="36">
        <v>1.5780291179202786</v>
      </c>
      <c r="Y91" s="36">
        <v>2.1933314224391265</v>
      </c>
      <c r="Z91" s="36">
        <v>2.7265597079405652</v>
      </c>
      <c r="AA91" s="36">
        <v>2.8611941844956226</v>
      </c>
      <c r="AB91" s="36">
        <v>3.3894229412432808</v>
      </c>
      <c r="AC91" s="36">
        <v>4.7110207007856388</v>
      </c>
      <c r="AD91" s="36"/>
      <c r="AE91" s="36">
        <v>42.000003</v>
      </c>
      <c r="AF91" s="36"/>
      <c r="AG91" s="36"/>
      <c r="AH91" s="36">
        <v>249.85248720761186</v>
      </c>
      <c r="AI91" s="36">
        <v>106.42537163730393</v>
      </c>
      <c r="AJ91" s="36">
        <v>75.336568657808726</v>
      </c>
      <c r="AK91" s="36">
        <v>75.466513795130112</v>
      </c>
      <c r="AL91" s="36">
        <v>81.770647196037686</v>
      </c>
      <c r="AP91" s="36">
        <f t="shared" si="82"/>
        <v>84.749775321570098</v>
      </c>
    </row>
    <row r="92" spans="1:59" x14ac:dyDescent="0.25">
      <c r="AP92" s="36">
        <f>SUM(AP69,AP70,AP72:AP77,AP79,AP81:AP86,AP88,AP90,AP91)</f>
        <v>1986.6073901019413</v>
      </c>
    </row>
    <row r="93" spans="1:59" x14ac:dyDescent="0.25">
      <c r="W93" t="s">
        <v>31</v>
      </c>
      <c r="X93" t="s">
        <v>30</v>
      </c>
      <c r="Y93" t="s">
        <v>28</v>
      </c>
      <c r="Z93" t="s">
        <v>29</v>
      </c>
      <c r="AA93" t="s">
        <v>41</v>
      </c>
      <c r="AB93" t="s">
        <v>42</v>
      </c>
      <c r="AC93" t="s">
        <v>43</v>
      </c>
    </row>
    <row r="94" spans="1:59" x14ac:dyDescent="0.25">
      <c r="V94" t="s">
        <v>34</v>
      </c>
      <c r="W94">
        <v>1008</v>
      </c>
      <c r="X94">
        <v>-5500</v>
      </c>
      <c r="Y94">
        <v>4620</v>
      </c>
      <c r="Z94">
        <f>(W94-X94)/(10*Y94)</f>
        <v>0.14086580086580086</v>
      </c>
      <c r="AA94">
        <v>9.15</v>
      </c>
      <c r="AB94">
        <v>11.25</v>
      </c>
      <c r="AC94">
        <v>1</v>
      </c>
      <c r="AD94">
        <f>Z94*AB94/(AA94*AC94)</f>
        <v>0.17319565680221419</v>
      </c>
      <c r="AE94">
        <f>AA94*AC94/AB94</f>
        <v>0.81333333333333335</v>
      </c>
      <c r="AF94">
        <v>1</v>
      </c>
      <c r="AG94">
        <v>650</v>
      </c>
      <c r="AH94">
        <f t="shared" ref="AH94:AO96" si="83">$AF94*POWER(AH$10,1/(ROW(AF94) - ROW($AF$40)))/$AG94</f>
        <v>1.6970643482522591E-3</v>
      </c>
      <c r="AI94">
        <f t="shared" si="83"/>
        <v>1.7261064260024851E-3</v>
      </c>
      <c r="AJ94">
        <f t="shared" si="83"/>
        <v>1.7484056405934229E-3</v>
      </c>
      <c r="AK94">
        <f t="shared" si="83"/>
        <v>1.7709929341601879E-3</v>
      </c>
      <c r="AL94">
        <f t="shared" si="83"/>
        <v>1.7843406837613918E-3</v>
      </c>
      <c r="AM94">
        <f t="shared" si="83"/>
        <v>1.7894416152135684E-3</v>
      </c>
      <c r="AN94">
        <f t="shared" si="83"/>
        <v>1.8013001611913552E-3</v>
      </c>
      <c r="AO94">
        <f t="shared" si="83"/>
        <v>1.8245707882117994E-3</v>
      </c>
    </row>
    <row r="95" spans="1:59" x14ac:dyDescent="0.25">
      <c r="V95" t="s">
        <v>3</v>
      </c>
      <c r="W95">
        <f>X96</f>
        <v>0</v>
      </c>
      <c r="X95">
        <f>X94</f>
        <v>-5500</v>
      </c>
      <c r="Y95">
        <v>3970</v>
      </c>
      <c r="Z95">
        <f>(W95-X95)/(10*Y95)</f>
        <v>0.1385390428211587</v>
      </c>
      <c r="AA95">
        <v>9</v>
      </c>
      <c r="AB95">
        <v>11.25</v>
      </c>
      <c r="AC95">
        <v>1</v>
      </c>
      <c r="AD95">
        <f>Z95*AB95/(AA95*AC95)</f>
        <v>0.17317380352644837</v>
      </c>
      <c r="AE95">
        <f>AA95*AC95/AB95</f>
        <v>0.8</v>
      </c>
      <c r="AF95">
        <v>2.25</v>
      </c>
      <c r="AG95">
        <v>255</v>
      </c>
      <c r="AH95">
        <f t="shared" si="83"/>
        <v>9.7158152221720352E-3</v>
      </c>
      <c r="AI95">
        <f t="shared" si="83"/>
        <v>9.8790348975745044E-3</v>
      </c>
      <c r="AJ95">
        <f t="shared" si="83"/>
        <v>1.0004325010745729E-2</v>
      </c>
      <c r="AK95">
        <f t="shared" si="83"/>
        <v>1.0131204106304527E-2</v>
      </c>
      <c r="AL95">
        <f t="shared" si="83"/>
        <v>1.0206168265770784E-2</v>
      </c>
      <c r="AM95">
        <f t="shared" si="83"/>
        <v>1.0234813622058683E-2</v>
      </c>
      <c r="AN95">
        <f t="shared" si="83"/>
        <v>1.03014020575679E-2</v>
      </c>
      <c r="AO95">
        <f t="shared" si="83"/>
        <v>1.0432048810312122E-2</v>
      </c>
    </row>
    <row r="96" spans="1:59" x14ac:dyDescent="0.25">
      <c r="V96" t="s">
        <v>32</v>
      </c>
      <c r="W96">
        <v>1008</v>
      </c>
      <c r="X96">
        <v>0</v>
      </c>
      <c r="Y96">
        <v>650</v>
      </c>
      <c r="Z96">
        <f>(W96-X96)/(10*Y96)</f>
        <v>0.15507692307692308</v>
      </c>
      <c r="AA96">
        <v>10</v>
      </c>
      <c r="AB96">
        <v>11.25</v>
      </c>
      <c r="AC96">
        <v>1</v>
      </c>
      <c r="AD96">
        <f>Z96*AB96/(AA96*AC96)</f>
        <v>0.17446153846153847</v>
      </c>
      <c r="AE96">
        <f>AA96*AC96/AB96</f>
        <v>0.88888888888888884</v>
      </c>
      <c r="AF96">
        <v>4</v>
      </c>
      <c r="AG96">
        <v>200</v>
      </c>
      <c r="AH96">
        <f t="shared" si="83"/>
        <v>2.1984663215203263E-2</v>
      </c>
      <c r="AI96">
        <f t="shared" si="83"/>
        <v>2.2347342678373017E-2</v>
      </c>
      <c r="AJ96">
        <f t="shared" si="83"/>
        <v>2.2625668732640401E-2</v>
      </c>
      <c r="AK96">
        <f t="shared" si="83"/>
        <v>2.2907461212137794E-2</v>
      </c>
      <c r="AL96">
        <f t="shared" si="83"/>
        <v>2.3073923405320031E-2</v>
      </c>
      <c r="AM96">
        <f t="shared" si="83"/>
        <v>2.3137526279307506E-2</v>
      </c>
      <c r="AN96">
        <f t="shared" si="83"/>
        <v>2.328536400981426E-2</v>
      </c>
      <c r="AO96">
        <f t="shared" si="83"/>
        <v>2.3575372695871746E-2</v>
      </c>
    </row>
    <row r="97" spans="18:41" x14ac:dyDescent="0.25">
      <c r="V97" t="s">
        <v>33</v>
      </c>
      <c r="W97">
        <v>1004</v>
      </c>
      <c r="X97">
        <v>935</v>
      </c>
      <c r="Y97">
        <v>40</v>
      </c>
      <c r="Z97">
        <f>(W97-X97)/(10*Y97)</f>
        <v>0.17249999999999999</v>
      </c>
      <c r="AA97">
        <v>6</v>
      </c>
      <c r="AB97">
        <v>8</v>
      </c>
      <c r="AC97">
        <v>1</v>
      </c>
      <c r="AD97">
        <f>Z97*AB97/(AA97*AC97)</f>
        <v>0.22999999999999998</v>
      </c>
      <c r="AE97">
        <f>AA97*AC97/AB97</f>
        <v>0.75</v>
      </c>
      <c r="AF97">
        <v>0.31</v>
      </c>
      <c r="AG97">
        <v>2600</v>
      </c>
      <c r="AH97">
        <f t="shared" ref="AH97:AO97" si="84">$AF97*(1-EXP(-AH10/$AG97))</f>
        <v>2.295206562088203E-2</v>
      </c>
      <c r="AI97">
        <f t="shared" si="84"/>
        <v>5.4233580236033842E-2</v>
      </c>
      <c r="AJ97">
        <f t="shared" si="84"/>
        <v>9.8979156519750533E-2</v>
      </c>
      <c r="AK97">
        <f t="shared" si="84"/>
        <v>0.16635549553833565</v>
      </c>
      <c r="AL97">
        <f t="shared" si="84"/>
        <v>0.2122194048619262</v>
      </c>
      <c r="AM97">
        <f t="shared" si="84"/>
        <v>0.22932582986820965</v>
      </c>
      <c r="AN97">
        <f t="shared" si="84"/>
        <v>0.26469146730782184</v>
      </c>
      <c r="AO97">
        <f t="shared" si="84"/>
        <v>0.30337786085574781</v>
      </c>
    </row>
    <row r="98" spans="18:41" x14ac:dyDescent="0.25">
      <c r="V98" t="s">
        <v>35</v>
      </c>
      <c r="W98">
        <v>1020</v>
      </c>
      <c r="X98">
        <v>855</v>
      </c>
      <c r="Y98">
        <v>60</v>
      </c>
      <c r="Z98">
        <f>(W98-X98)/(10*Y98)</f>
        <v>0.27500000000000002</v>
      </c>
      <c r="AA98">
        <v>5</v>
      </c>
      <c r="AB98">
        <v>4</v>
      </c>
      <c r="AC98">
        <f>392/672</f>
        <v>0.58333333333333337</v>
      </c>
      <c r="AD98">
        <f>Z98*AB98/(AA98*AC98)</f>
        <v>0.37714285714285711</v>
      </c>
      <c r="AE98">
        <f>AA98*AC98/AB98</f>
        <v>0.72916666666666674</v>
      </c>
    </row>
    <row r="109" spans="18:41" x14ac:dyDescent="0.25">
      <c r="R109">
        <v>1796</v>
      </c>
    </row>
  </sheetData>
  <sortState ref="A9:AD31">
    <sortCondition ref="A9:A25"/>
  </sortState>
  <mergeCells count="3">
    <mergeCell ref="V9:AC9"/>
    <mergeCell ref="AH9:AO9"/>
    <mergeCell ref="AQ8:AR8"/>
  </mergeCells>
  <phoneticPr fontId="2" type="noConversion"/>
  <conditionalFormatting sqref="AM29:AO29 AM23:AO23 AM25:AO25 AH37:AO37">
    <cfRule type="cellIs" dxfId="2" priority="5" stopIfTrue="1" operator="between">
      <formula>$AO$14</formula>
      <formula>$AL$16</formula>
    </cfRule>
    <cfRule type="cellIs" dxfId="1" priority="6" stopIfTrue="1" operator="between">
      <formula>$AL$16</formula>
      <formula>$AM$28</formula>
    </cfRule>
    <cfRule type="cellIs" dxfId="0" priority="7" stopIfTrue="1" operator="between">
      <formula>$AM$28</formula>
      <formula>$AH$22</formula>
    </cfRule>
  </conditionalFormatting>
  <conditionalFormatting sqref="AH14:AL3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4:AL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3:AO6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error="Please choose a value from the drop-down list" promptTitle="Energy" prompt="Enter beam Energy of Sputter gun" sqref="AR10">
      <formula1>BeamEnergy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J37" zoomScale="84" zoomScaleNormal="84" workbookViewId="0">
      <selection activeCell="AY54" sqref="AY54"/>
    </sheetView>
  </sheetViews>
  <sheetFormatPr defaultRowHeight="15" x14ac:dyDescent="0.25"/>
  <cols>
    <col min="3" max="3" width="10.42578125" customWidth="1"/>
    <col min="4" max="4" width="14.42578125" customWidth="1"/>
    <col min="6" max="6" width="12.42578125" customWidth="1"/>
    <col min="7" max="9" width="11.7109375" customWidth="1"/>
    <col min="10" max="11" width="6.28515625" customWidth="1"/>
    <col min="12" max="14" width="11.7109375" customWidth="1"/>
  </cols>
  <sheetData>
    <row r="1" spans="2:16" x14ac:dyDescent="0.25">
      <c r="C1">
        <v>0.2</v>
      </c>
      <c r="D1">
        <v>0.8</v>
      </c>
    </row>
    <row r="2" spans="2:16" x14ac:dyDescent="0.25">
      <c r="B2">
        <v>0</v>
      </c>
      <c r="C2">
        <f>(C$1/COS(RADIANS(B2))^2)+D$1</f>
        <v>1</v>
      </c>
    </row>
    <row r="3" spans="2:16" x14ac:dyDescent="0.25">
      <c r="B3">
        <v>10</v>
      </c>
      <c r="C3">
        <f t="shared" ref="C3:C10" si="0">(C$1/COS(RADIANS(B3))^2)+D$1</f>
        <v>1.0062182408251528</v>
      </c>
    </row>
    <row r="4" spans="2:16" x14ac:dyDescent="0.25">
      <c r="B4">
        <v>20</v>
      </c>
      <c r="C4">
        <f t="shared" si="0"/>
        <v>1.0264948662863589</v>
      </c>
    </row>
    <row r="5" spans="2:16" x14ac:dyDescent="0.25">
      <c r="B5">
        <v>30</v>
      </c>
      <c r="C5">
        <f t="shared" si="0"/>
        <v>1.0666666666666667</v>
      </c>
    </row>
    <row r="6" spans="2:16" x14ac:dyDescent="0.25">
      <c r="B6">
        <v>40</v>
      </c>
      <c r="C6">
        <f t="shared" si="0"/>
        <v>1.1408176382083695</v>
      </c>
    </row>
    <row r="7" spans="2:16" x14ac:dyDescent="0.25">
      <c r="B7">
        <v>50</v>
      </c>
      <c r="C7">
        <f t="shared" si="0"/>
        <v>1.2840553250922413</v>
      </c>
    </row>
    <row r="8" spans="2:16" x14ac:dyDescent="0.25">
      <c r="B8">
        <v>60</v>
      </c>
      <c r="C8">
        <f t="shared" si="0"/>
        <v>1.5999999999999996</v>
      </c>
    </row>
    <row r="9" spans="2:16" x14ac:dyDescent="0.25">
      <c r="B9">
        <v>70</v>
      </c>
      <c r="C9">
        <f t="shared" si="0"/>
        <v>2.5097264340826051</v>
      </c>
    </row>
    <row r="10" spans="2:16" x14ac:dyDescent="0.25">
      <c r="B10">
        <v>80</v>
      </c>
      <c r="C10">
        <f t="shared" si="0"/>
        <v>7.4326874955052666</v>
      </c>
    </row>
    <row r="15" spans="2:16" x14ac:dyDescent="0.25">
      <c r="P15" s="29">
        <v>99.1</v>
      </c>
    </row>
    <row r="16" spans="2:16" x14ac:dyDescent="0.25">
      <c r="P16" s="29">
        <v>96.5</v>
      </c>
    </row>
    <row r="17" spans="1:54" x14ac:dyDescent="0.25">
      <c r="F17" t="s">
        <v>93</v>
      </c>
      <c r="N17" t="s">
        <v>94</v>
      </c>
      <c r="P17" s="29">
        <v>0.32</v>
      </c>
    </row>
    <row r="18" spans="1:54" x14ac:dyDescent="0.25">
      <c r="AF18">
        <v>2.4</v>
      </c>
    </row>
    <row r="19" spans="1:54" s="29" customFormat="1" ht="33.75" customHeight="1" x14ac:dyDescent="0.25">
      <c r="C19" s="29" t="s">
        <v>92</v>
      </c>
      <c r="D19" s="29" t="s">
        <v>86</v>
      </c>
      <c r="F19" s="29" t="s">
        <v>84</v>
      </c>
      <c r="G19" s="29" t="s">
        <v>85</v>
      </c>
      <c r="H19" s="29">
        <v>99.1</v>
      </c>
      <c r="AF19" s="29">
        <v>1.0500000000000001E-2</v>
      </c>
      <c r="AM19" s="29" t="s">
        <v>100</v>
      </c>
      <c r="AP19" s="29" t="s">
        <v>101</v>
      </c>
      <c r="AR19" s="29" t="s">
        <v>99</v>
      </c>
      <c r="AT19" s="29" t="s">
        <v>102</v>
      </c>
    </row>
    <row r="20" spans="1:54" s="29" customFormat="1" ht="14.25" customHeight="1" x14ac:dyDescent="0.25">
      <c r="C20" s="29">
        <v>2.121</v>
      </c>
      <c r="G20" s="29" t="s">
        <v>95</v>
      </c>
      <c r="H20" s="29">
        <v>96.5</v>
      </c>
      <c r="L20" s="29">
        <v>100.059</v>
      </c>
      <c r="M20" s="29">
        <f>1/L20</f>
        <v>9.9941034789474206E-3</v>
      </c>
      <c r="N20">
        <f>100*L20/(L20+1)</f>
        <v>99.010479027102974</v>
      </c>
      <c r="O20">
        <f>100-N20</f>
        <v>0.98952097289702579</v>
      </c>
      <c r="Q20">
        <f>SQRT(-LN((N20-P$15)/(-1*P$16))*C20)</f>
        <v>3.8484506725325729</v>
      </c>
    </row>
    <row r="21" spans="1:54" s="29" customFormat="1" ht="14.25" customHeight="1" x14ac:dyDescent="0.25">
      <c r="C21" s="29">
        <v>2</v>
      </c>
      <c r="G21" s="29" t="s">
        <v>96</v>
      </c>
      <c r="H21" s="29">
        <v>0.32</v>
      </c>
      <c r="L21" s="29">
        <v>77.67</v>
      </c>
      <c r="M21" s="29">
        <f t="shared" ref="M21:M52" si="1">1/L21</f>
        <v>1.2874983906270118E-2</v>
      </c>
      <c r="N21">
        <f t="shared" ref="N21:N52" si="2">100*L21/(L21+1)</f>
        <v>98.728867420871993</v>
      </c>
      <c r="O21">
        <f t="shared" ref="O21:O52" si="3">100-N21</f>
        <v>1.2711325791280075</v>
      </c>
      <c r="Q21">
        <f t="shared" ref="Q21:Q41" si="4">SQRT(-LN((N21-P$15)/(-1*P$16))*C21)</f>
        <v>3.3348879838507242</v>
      </c>
      <c r="AL21" s="29">
        <v>0.46</v>
      </c>
      <c r="AO21" s="29">
        <v>0.40500000000000003</v>
      </c>
      <c r="AQ21" s="29">
        <v>0.51</v>
      </c>
      <c r="AS21" s="29">
        <v>0.41699999999999998</v>
      </c>
    </row>
    <row r="22" spans="1:54" s="29" customFormat="1" ht="14.25" customHeight="1" x14ac:dyDescent="0.25">
      <c r="C22" s="29">
        <v>1.9</v>
      </c>
      <c r="H22" s="29">
        <v>0.05</v>
      </c>
      <c r="J22" s="29">
        <v>-1</v>
      </c>
      <c r="L22" s="29">
        <v>62.951000000000001</v>
      </c>
      <c r="M22" s="29">
        <f t="shared" si="1"/>
        <v>1.5885371161697193E-2</v>
      </c>
      <c r="N22">
        <f t="shared" si="2"/>
        <v>98.436302794326906</v>
      </c>
      <c r="O22">
        <f t="shared" si="3"/>
        <v>1.563697205673094</v>
      </c>
      <c r="Q22">
        <f t="shared" si="4"/>
        <v>3.0758734188972849</v>
      </c>
      <c r="AL22" s="29">
        <v>1.2999999999999999E-2</v>
      </c>
      <c r="AO22" s="29">
        <v>1.6500000000000001E-2</v>
      </c>
      <c r="AQ22" s="29">
        <v>1.9E-2</v>
      </c>
      <c r="AS22" s="29">
        <v>1.9E-2</v>
      </c>
      <c r="AV22" t="s">
        <v>103</v>
      </c>
      <c r="AW22" t="s">
        <v>104</v>
      </c>
    </row>
    <row r="23" spans="1:54" x14ac:dyDescent="0.25">
      <c r="A23">
        <f>B23/C23</f>
        <v>1.1552287581699345</v>
      </c>
      <c r="B23">
        <v>2.121</v>
      </c>
      <c r="C23">
        <v>1.8360000000000001</v>
      </c>
      <c r="D23">
        <v>100</v>
      </c>
      <c r="E23">
        <f>1/D23</f>
        <v>0.01</v>
      </c>
      <c r="F23">
        <f>100*D23/(D23+1)</f>
        <v>99.009900990099013</v>
      </c>
      <c r="G23">
        <f>100-F23</f>
        <v>0.99009900990098743</v>
      </c>
      <c r="H23">
        <f>H$19-H$20*EXP(-C23/H$21)+H$22*POWER(C23,J$22)</f>
        <v>98.81623144379293</v>
      </c>
      <c r="I23">
        <f>SQRT(-LN((F23-H$19)/(-1*H$20))*C23)</f>
        <v>3.5789174912275032</v>
      </c>
      <c r="J23">
        <f>B23-C23</f>
        <v>0.28499999999999992</v>
      </c>
      <c r="L23" s="29">
        <v>55.006</v>
      </c>
      <c r="M23" s="29">
        <f t="shared" si="1"/>
        <v>1.8179834927098862E-2</v>
      </c>
      <c r="N23">
        <f t="shared" si="2"/>
        <v>98.214477020319251</v>
      </c>
      <c r="O23">
        <f t="shared" si="3"/>
        <v>1.7855229796807492</v>
      </c>
      <c r="Q23">
        <f t="shared" si="4"/>
        <v>2.9347736025983115</v>
      </c>
      <c r="AB23">
        <v>12.8</v>
      </c>
      <c r="AC23">
        <v>100</v>
      </c>
      <c r="AD23">
        <v>12.8</v>
      </c>
      <c r="AE23">
        <v>100</v>
      </c>
      <c r="AF23">
        <f>AF18</f>
        <v>2.4</v>
      </c>
      <c r="AG23">
        <f>AE23</f>
        <v>100</v>
      </c>
      <c r="AK23">
        <v>0</v>
      </c>
      <c r="AL23">
        <f>AL$21-AL$22*$AK23</f>
        <v>0.46</v>
      </c>
      <c r="AM23" s="32">
        <v>2.3628705462983199</v>
      </c>
      <c r="AN23" s="32">
        <v>0</v>
      </c>
      <c r="AO23">
        <f>AO$21-AO$22*$AN23</f>
        <v>0.40500000000000003</v>
      </c>
      <c r="AP23" s="32">
        <v>1.9746500324236851</v>
      </c>
      <c r="AQ23">
        <f>AQ$21-AQ$22*$AK23</f>
        <v>0.51</v>
      </c>
      <c r="AR23" s="32">
        <v>2.8037999961961999</v>
      </c>
      <c r="AS23">
        <f>AS$21-AS$22*$AN23</f>
        <v>0.41699999999999998</v>
      </c>
      <c r="AT23">
        <v>2.0422878004259197</v>
      </c>
      <c r="AU23">
        <f>AV23/(100-AV23)</f>
        <v>2.0422878004259197</v>
      </c>
      <c r="AV23">
        <f>BB23</f>
        <v>67.13</v>
      </c>
      <c r="AW23">
        <f>100-AV23</f>
        <v>32.870000000000005</v>
      </c>
      <c r="BA23">
        <f t="shared" ref="BA23:BA32" si="5">BB23/(100-BB23)</f>
        <v>2.0422878004259197</v>
      </c>
      <c r="BB23">
        <v>67.13</v>
      </c>
    </row>
    <row r="24" spans="1:54" x14ac:dyDescent="0.25">
      <c r="A24">
        <f t="shared" ref="A24:A44" si="6">B24/C24</f>
        <v>0</v>
      </c>
      <c r="C24">
        <v>1.8</v>
      </c>
      <c r="D24">
        <v>92.215999999999994</v>
      </c>
      <c r="E24">
        <f t="shared" ref="E24:E41" si="7">1/D24</f>
        <v>1.0844105144443481E-2</v>
      </c>
      <c r="F24">
        <f t="shared" ref="F24:F41" si="8">100*D24/(D24+1)</f>
        <v>98.927222794370053</v>
      </c>
      <c r="G24">
        <f t="shared" ref="G24:G41" si="9">100-F24</f>
        <v>1.0727772056299472</v>
      </c>
      <c r="H24">
        <f t="shared" ref="H24:H52" si="10">H$19-H$20*EXP(-C24/H$21)+H$22*POWER(C24,J$22)</f>
        <v>98.779744435152253</v>
      </c>
      <c r="I24">
        <f t="shared" ref="I24:I44" si="11">SQRT(-LN((F24-H$19)/(-1*H$20))*C24)</f>
        <v>3.374245342701037</v>
      </c>
      <c r="L24">
        <v>50.975999999999999</v>
      </c>
      <c r="M24" s="29">
        <f t="shared" si="1"/>
        <v>1.9617074701820465E-2</v>
      </c>
      <c r="N24">
        <f t="shared" si="2"/>
        <v>98.076035093119913</v>
      </c>
      <c r="O24">
        <f t="shared" si="3"/>
        <v>1.9239649068800873</v>
      </c>
      <c r="Q24">
        <f t="shared" si="4"/>
        <v>2.8605155750828613</v>
      </c>
      <c r="AB24">
        <v>12.736000000000001</v>
      </c>
      <c r="AC24">
        <v>100</v>
      </c>
      <c r="AD24">
        <v>12.736000000000001</v>
      </c>
      <c r="AE24">
        <v>100</v>
      </c>
      <c r="AF24">
        <f>AF23-AF$19</f>
        <v>2.3895</v>
      </c>
      <c r="AG24">
        <f>AE24</f>
        <v>100</v>
      </c>
      <c r="AK24">
        <v>30</v>
      </c>
      <c r="AL24">
        <f t="shared" ref="AL24:AL25" si="12">AL$21-AL$22*$AK24</f>
        <v>7.0000000000000062E-2</v>
      </c>
      <c r="AM24" s="32">
        <v>0.23573193020091765</v>
      </c>
      <c r="AN24" s="32">
        <v>20</v>
      </c>
      <c r="AO24">
        <f t="shared" ref="AO24:AO25" si="13">AO$21-AO$22*$AN24</f>
        <v>7.5000000000000011E-2</v>
      </c>
      <c r="AP24" s="32">
        <v>0.26744639969175704</v>
      </c>
      <c r="AQ24">
        <f>AQ$21-AQ$22*AN24</f>
        <v>0.13</v>
      </c>
      <c r="AR24" s="32">
        <v>0.4892232360523075</v>
      </c>
      <c r="AS24">
        <f t="shared" ref="AS24:AS26" si="14">AS$21-AS$22*$AN24</f>
        <v>3.6999999999999977E-2</v>
      </c>
      <c r="AT24">
        <v>0.12321689318207346</v>
      </c>
      <c r="AU24">
        <f>AV24/(100-AV24)</f>
        <v>0.12321689318207346</v>
      </c>
      <c r="AV24">
        <f t="shared" ref="AV24:AV33" si="15">BB24</f>
        <v>10.97</v>
      </c>
      <c r="AW24">
        <f t="shared" ref="AW24:AW33" si="16">100-AV24</f>
        <v>89.03</v>
      </c>
      <c r="BA24">
        <f t="shared" si="5"/>
        <v>0.12321689318207346</v>
      </c>
      <c r="BB24">
        <v>10.97</v>
      </c>
    </row>
    <row r="25" spans="1:54" x14ac:dyDescent="0.25">
      <c r="A25">
        <f t="shared" si="6"/>
        <v>0</v>
      </c>
      <c r="C25">
        <v>1.7</v>
      </c>
      <c r="D25">
        <v>73.403999999999996</v>
      </c>
      <c r="E25">
        <f t="shared" si="7"/>
        <v>1.362323579096507E-2</v>
      </c>
      <c r="F25">
        <f t="shared" si="8"/>
        <v>98.655986237299075</v>
      </c>
      <c r="G25">
        <f t="shared" si="9"/>
        <v>1.344013762700925</v>
      </c>
      <c r="H25">
        <f t="shared" si="10"/>
        <v>98.653706587211786</v>
      </c>
      <c r="I25">
        <f t="shared" si="11"/>
        <v>3.024640910606065</v>
      </c>
      <c r="L25">
        <v>41.234999999999999</v>
      </c>
      <c r="M25" s="29">
        <f t="shared" si="1"/>
        <v>2.4251242876197406E-2</v>
      </c>
      <c r="N25">
        <f t="shared" si="2"/>
        <v>97.632295489522903</v>
      </c>
      <c r="O25">
        <f t="shared" si="3"/>
        <v>2.3677045104770968</v>
      </c>
      <c r="Q25">
        <f t="shared" si="4"/>
        <v>2.6675707592194651</v>
      </c>
      <c r="AB25">
        <v>12.672000000000001</v>
      </c>
      <c r="AC25">
        <v>100</v>
      </c>
      <c r="AD25">
        <v>12.672000000000001</v>
      </c>
      <c r="AE25">
        <v>100</v>
      </c>
      <c r="AF25">
        <f t="shared" ref="AF25:AF89" si="17">AF24-AF$19</f>
        <v>2.379</v>
      </c>
      <c r="AG25">
        <f t="shared" ref="AG25:AG89" si="18">AE25</f>
        <v>100</v>
      </c>
      <c r="AK25">
        <v>35</v>
      </c>
      <c r="AL25">
        <f t="shared" si="12"/>
        <v>5.00000000000006E-3</v>
      </c>
      <c r="AN25">
        <v>24</v>
      </c>
      <c r="AO25">
        <f t="shared" si="13"/>
        <v>9.000000000000008E-3</v>
      </c>
      <c r="AQ25">
        <f>AQ$21-AQ$22*AK25</f>
        <v>-0.15500000000000003</v>
      </c>
      <c r="AS25">
        <f t="shared" si="14"/>
        <v>-3.8999999999999979E-2</v>
      </c>
      <c r="AU25">
        <f t="shared" ref="AU25:AU33" si="19">AV25/(100-AV25)</f>
        <v>5.6524035921817213E-2</v>
      </c>
      <c r="AV25">
        <f t="shared" si="15"/>
        <v>5.35</v>
      </c>
      <c r="AW25">
        <f t="shared" si="16"/>
        <v>94.65</v>
      </c>
      <c r="BA25">
        <f t="shared" si="5"/>
        <v>5.6524035921817213E-2</v>
      </c>
      <c r="BB25">
        <v>5.35</v>
      </c>
    </row>
    <row r="26" spans="1:54" x14ac:dyDescent="0.25">
      <c r="A26">
        <f t="shared" si="6"/>
        <v>0</v>
      </c>
      <c r="C26">
        <v>1.6</v>
      </c>
      <c r="D26">
        <v>58.36</v>
      </c>
      <c r="E26">
        <f t="shared" si="7"/>
        <v>1.7135023989033583E-2</v>
      </c>
      <c r="F26">
        <f t="shared" si="8"/>
        <v>98.315363881401623</v>
      </c>
      <c r="G26">
        <f t="shared" si="9"/>
        <v>1.6846361185983767</v>
      </c>
      <c r="H26">
        <f t="shared" si="10"/>
        <v>98.481038114588245</v>
      </c>
      <c r="I26">
        <f t="shared" si="11"/>
        <v>2.7747657833268198</v>
      </c>
      <c r="L26">
        <v>33.308999999999997</v>
      </c>
      <c r="M26" s="29">
        <f t="shared" si="1"/>
        <v>3.0021915998679038E-2</v>
      </c>
      <c r="N26">
        <f t="shared" si="2"/>
        <v>97.085312891661076</v>
      </c>
      <c r="O26">
        <f t="shared" si="3"/>
        <v>2.9146871083389243</v>
      </c>
      <c r="Q26">
        <f t="shared" si="4"/>
        <v>2.4880768818426979</v>
      </c>
      <c r="AB26">
        <v>12.608000000000001</v>
      </c>
      <c r="AC26">
        <v>100</v>
      </c>
      <c r="AD26">
        <v>12.608000000000001</v>
      </c>
      <c r="AE26">
        <v>100</v>
      </c>
      <c r="AF26">
        <f t="shared" si="17"/>
        <v>2.3685</v>
      </c>
      <c r="AG26">
        <f t="shared" si="18"/>
        <v>100</v>
      </c>
      <c r="AK26">
        <v>60</v>
      </c>
      <c r="AL26">
        <f>0.06*0.9*(AK26-AK$25)</f>
        <v>1.35</v>
      </c>
      <c r="AM26" s="32">
        <v>8.5110220114696211E-2</v>
      </c>
      <c r="AN26" s="32">
        <v>40</v>
      </c>
      <c r="AO26">
        <f>0.06*0.9*(AN26-AN$25)</f>
        <v>0.86399999999999999</v>
      </c>
      <c r="AP26" s="32">
        <v>9.669642005244404E-2</v>
      </c>
      <c r="AQ26">
        <f>AQ$21-AQ$22*AK26</f>
        <v>-0.62999999999999989</v>
      </c>
      <c r="AR26" s="32">
        <v>0.21379404099953511</v>
      </c>
      <c r="AS26">
        <f t="shared" si="14"/>
        <v>-0.34300000000000003</v>
      </c>
      <c r="AT26">
        <v>5.6524035921817213E-2</v>
      </c>
      <c r="AU26">
        <f t="shared" si="19"/>
        <v>6.6098081023454158E-2</v>
      </c>
      <c r="AV26">
        <f t="shared" si="15"/>
        <v>6.2</v>
      </c>
      <c r="AW26">
        <f t="shared" si="16"/>
        <v>93.8</v>
      </c>
      <c r="BA26">
        <f t="shared" si="5"/>
        <v>6.6098081023454158E-2</v>
      </c>
      <c r="BB26">
        <v>6.2</v>
      </c>
    </row>
    <row r="27" spans="1:54" x14ac:dyDescent="0.25">
      <c r="A27">
        <f t="shared" si="6"/>
        <v>0</v>
      </c>
      <c r="C27">
        <v>1.5</v>
      </c>
      <c r="D27">
        <v>46.331000000000003</v>
      </c>
      <c r="E27">
        <f t="shared" si="7"/>
        <v>2.1583820767952341E-2</v>
      </c>
      <c r="F27">
        <f>100*D27/(D27+1)</f>
        <v>97.887219792524988</v>
      </c>
      <c r="G27">
        <f t="shared" si="9"/>
        <v>2.1127802074750122</v>
      </c>
      <c r="H27">
        <f t="shared" si="10"/>
        <v>98.244599058550406</v>
      </c>
      <c r="I27">
        <f t="shared" si="11"/>
        <v>2.5622141574035813</v>
      </c>
      <c r="L27">
        <v>26.861000000000001</v>
      </c>
      <c r="M27" s="29">
        <f t="shared" si="1"/>
        <v>3.7228695878783365E-2</v>
      </c>
      <c r="N27">
        <f t="shared" si="2"/>
        <v>96.410753382864925</v>
      </c>
      <c r="O27">
        <f t="shared" si="3"/>
        <v>3.5892466171350748</v>
      </c>
      <c r="Q27">
        <f t="shared" si="4"/>
        <v>2.3174172871767444</v>
      </c>
      <c r="AB27">
        <v>12.544</v>
      </c>
      <c r="AC27">
        <v>100</v>
      </c>
      <c r="AD27">
        <v>12.544</v>
      </c>
      <c r="AE27">
        <v>100</v>
      </c>
      <c r="AF27">
        <f t="shared" si="17"/>
        <v>2.3580000000000001</v>
      </c>
      <c r="AG27">
        <f t="shared" si="18"/>
        <v>100</v>
      </c>
      <c r="AK27">
        <v>90</v>
      </c>
      <c r="AL27">
        <f>0.06*0.9*(AK27-AK$25)</f>
        <v>2.9699999999999998</v>
      </c>
      <c r="AM27" s="32">
        <v>3.9785513087257744E-2</v>
      </c>
      <c r="AN27" s="32">
        <v>60</v>
      </c>
      <c r="AO27">
        <f t="shared" ref="AO27:AO48" si="20">0.06*0.9*(AN27-AN$25)</f>
        <v>1.944</v>
      </c>
      <c r="AP27" s="32">
        <v>5.8220897329261292E-2</v>
      </c>
      <c r="AR27" s="32">
        <v>0.10991755534047823</v>
      </c>
      <c r="AT27">
        <v>6.6098081023454158E-2</v>
      </c>
      <c r="AU27">
        <f t="shared" si="19"/>
        <v>7.4691026329930146E-2</v>
      </c>
      <c r="AV27">
        <f t="shared" si="15"/>
        <v>6.95</v>
      </c>
      <c r="AW27">
        <f t="shared" si="16"/>
        <v>93.05</v>
      </c>
      <c r="BA27">
        <f t="shared" si="5"/>
        <v>7.4691026329930146E-2</v>
      </c>
      <c r="BB27">
        <v>6.95</v>
      </c>
    </row>
    <row r="28" spans="1:54" x14ac:dyDescent="0.25">
      <c r="A28">
        <f t="shared" si="6"/>
        <v>0</v>
      </c>
      <c r="C28">
        <v>1.4</v>
      </c>
      <c r="D28">
        <v>36.712000000000003</v>
      </c>
      <c r="E28">
        <f t="shared" si="7"/>
        <v>2.7239049901939417E-2</v>
      </c>
      <c r="F28">
        <f t="shared" si="8"/>
        <v>97.348324140857017</v>
      </c>
      <c r="G28">
        <f t="shared" si="9"/>
        <v>2.6516758591429834</v>
      </c>
      <c r="H28">
        <f t="shared" si="10"/>
        <v>97.920958559319402</v>
      </c>
      <c r="I28">
        <f t="shared" si="11"/>
        <v>2.3690838023998109</v>
      </c>
      <c r="L28">
        <v>21.614999999999998</v>
      </c>
      <c r="M28" s="29">
        <f t="shared" si="1"/>
        <v>4.6264168401572985E-2</v>
      </c>
      <c r="N28">
        <f t="shared" si="2"/>
        <v>95.578156091089994</v>
      </c>
      <c r="O28">
        <f t="shared" si="3"/>
        <v>4.4218439089100059</v>
      </c>
      <c r="Q28">
        <f t="shared" si="4"/>
        <v>2.1528543019405935</v>
      </c>
      <c r="AB28">
        <v>12.479904000000001</v>
      </c>
      <c r="AC28">
        <v>100</v>
      </c>
      <c r="AD28">
        <v>12.479904000000001</v>
      </c>
      <c r="AE28">
        <v>100</v>
      </c>
      <c r="AF28">
        <f t="shared" si="17"/>
        <v>2.3475000000000001</v>
      </c>
      <c r="AG28">
        <f t="shared" si="18"/>
        <v>100</v>
      </c>
      <c r="AK28">
        <v>120</v>
      </c>
      <c r="AL28">
        <f t="shared" ref="AL28:AL63" si="21">0.06*0.9*(AK28-AK$25)</f>
        <v>4.59</v>
      </c>
      <c r="AM28" s="32">
        <v>2.9911520283596494E-2</v>
      </c>
      <c r="AN28" s="32">
        <v>80</v>
      </c>
      <c r="AO28">
        <f t="shared" si="20"/>
        <v>3.024</v>
      </c>
      <c r="AP28" s="32">
        <v>6.0937146906891108E-2</v>
      </c>
      <c r="AR28" s="32">
        <v>0.14638276115459084</v>
      </c>
      <c r="AT28">
        <v>7.4691026329930146E-2</v>
      </c>
      <c r="AU28">
        <f t="shared" si="19"/>
        <v>7.6078768965888305E-2</v>
      </c>
      <c r="AV28">
        <f t="shared" si="15"/>
        <v>7.07</v>
      </c>
      <c r="AW28">
        <f t="shared" si="16"/>
        <v>92.93</v>
      </c>
      <c r="BA28">
        <f t="shared" si="5"/>
        <v>7.6078768965888305E-2</v>
      </c>
      <c r="BB28">
        <v>7.07</v>
      </c>
    </row>
    <row r="29" spans="1:54" x14ac:dyDescent="0.25">
      <c r="A29">
        <f t="shared" si="6"/>
        <v>0</v>
      </c>
      <c r="C29">
        <v>1.3</v>
      </c>
      <c r="D29">
        <v>29.02</v>
      </c>
      <c r="E29">
        <f t="shared" si="7"/>
        <v>3.445899379738112E-2</v>
      </c>
      <c r="F29">
        <f t="shared" si="8"/>
        <v>96.668887408394411</v>
      </c>
      <c r="G29">
        <f t="shared" si="9"/>
        <v>3.3311125916055886</v>
      </c>
      <c r="H29">
        <f t="shared" si="10"/>
        <v>97.478087322366875</v>
      </c>
      <c r="I29">
        <f t="shared" si="11"/>
        <v>2.1875905007321967</v>
      </c>
      <c r="L29">
        <v>17.347999999999999</v>
      </c>
      <c r="M29" s="29">
        <f t="shared" si="1"/>
        <v>5.7643532395665213E-2</v>
      </c>
      <c r="N29">
        <f t="shared" si="2"/>
        <v>94.549814693699588</v>
      </c>
      <c r="O29">
        <f t="shared" si="3"/>
        <v>5.450185306300412</v>
      </c>
      <c r="Q29">
        <f t="shared" si="4"/>
        <v>1.9926584163919181</v>
      </c>
      <c r="AB29">
        <v>12.415904000000001</v>
      </c>
      <c r="AC29">
        <v>100</v>
      </c>
      <c r="AD29">
        <v>12.415904000000001</v>
      </c>
      <c r="AE29">
        <v>100</v>
      </c>
      <c r="AF29">
        <f t="shared" si="17"/>
        <v>2.3370000000000002</v>
      </c>
      <c r="AG29">
        <f t="shared" si="18"/>
        <v>100</v>
      </c>
      <c r="AK29">
        <v>150</v>
      </c>
      <c r="AL29">
        <f t="shared" si="21"/>
        <v>6.21</v>
      </c>
      <c r="AM29" s="32">
        <v>6.575225086965418E-2</v>
      </c>
      <c r="AN29" s="32">
        <v>100</v>
      </c>
      <c r="AO29">
        <f t="shared" si="20"/>
        <v>4.1040000000000001</v>
      </c>
      <c r="AP29" s="32">
        <v>6.3834846105728107E-2</v>
      </c>
      <c r="AR29" s="32">
        <v>0.10331756691899549</v>
      </c>
      <c r="AT29">
        <v>7.6078768965888305E-2</v>
      </c>
      <c r="AU29">
        <f t="shared" si="19"/>
        <v>8.7665869045029376E-2</v>
      </c>
      <c r="AV29">
        <f t="shared" si="15"/>
        <v>8.06</v>
      </c>
      <c r="AW29">
        <f t="shared" si="16"/>
        <v>91.94</v>
      </c>
      <c r="BA29">
        <f t="shared" si="5"/>
        <v>8.7665869045029376E-2</v>
      </c>
      <c r="BB29">
        <v>8.06</v>
      </c>
    </row>
    <row r="30" spans="1:54" x14ac:dyDescent="0.25">
      <c r="A30">
        <f t="shared" si="6"/>
        <v>0</v>
      </c>
      <c r="C30">
        <v>1.2</v>
      </c>
      <c r="D30">
        <v>22.87</v>
      </c>
      <c r="E30">
        <f t="shared" si="7"/>
        <v>4.3725404459991256E-2</v>
      </c>
      <c r="F30">
        <f t="shared" si="8"/>
        <v>95.810640971931292</v>
      </c>
      <c r="G30">
        <f t="shared" si="9"/>
        <v>4.1893590280687079</v>
      </c>
      <c r="H30">
        <f t="shared" si="10"/>
        <v>96.872204191561792</v>
      </c>
      <c r="I30">
        <f t="shared" si="11"/>
        <v>2.0136087862870302</v>
      </c>
      <c r="L30">
        <v>13.875999999999999</v>
      </c>
      <c r="M30" s="29">
        <f t="shared" si="1"/>
        <v>7.2066878062842316E-2</v>
      </c>
      <c r="N30">
        <f t="shared" si="2"/>
        <v>93.27776283947297</v>
      </c>
      <c r="O30">
        <f t="shared" si="3"/>
        <v>6.7222371605270297</v>
      </c>
      <c r="Q30">
        <f t="shared" si="4"/>
        <v>1.8356007502563558</v>
      </c>
      <c r="AB30">
        <v>12.351904000000001</v>
      </c>
      <c r="AC30">
        <v>100</v>
      </c>
      <c r="AD30">
        <v>12.351904000000001</v>
      </c>
      <c r="AE30">
        <v>100</v>
      </c>
      <c r="AF30">
        <f t="shared" si="17"/>
        <v>2.3265000000000002</v>
      </c>
      <c r="AG30">
        <f t="shared" si="18"/>
        <v>100</v>
      </c>
      <c r="AK30">
        <v>180</v>
      </c>
      <c r="AL30">
        <f t="shared" si="21"/>
        <v>7.83</v>
      </c>
      <c r="AM30" s="32">
        <v>3.7300073337129855E-2</v>
      </c>
      <c r="AN30" s="32">
        <v>120</v>
      </c>
      <c r="AO30">
        <f t="shared" si="20"/>
        <v>5.1840000000000002</v>
      </c>
      <c r="AP30" s="32">
        <v>7.361337464597599E-2</v>
      </c>
      <c r="AR30" s="32">
        <v>0.13709887415840469</v>
      </c>
      <c r="AT30">
        <v>8.7665869045029376E-2</v>
      </c>
      <c r="AU30">
        <f t="shared" si="19"/>
        <v>4.9868766404199474E-2</v>
      </c>
      <c r="AV30">
        <f t="shared" si="15"/>
        <v>4.75</v>
      </c>
      <c r="AW30">
        <f t="shared" si="16"/>
        <v>95.25</v>
      </c>
      <c r="BA30">
        <f t="shared" si="5"/>
        <v>4.9868766404199474E-2</v>
      </c>
      <c r="BB30">
        <v>4.75</v>
      </c>
    </row>
    <row r="31" spans="1:54" x14ac:dyDescent="0.25">
      <c r="A31">
        <f t="shared" si="6"/>
        <v>1.1909090909090909</v>
      </c>
      <c r="B31">
        <v>1.31</v>
      </c>
      <c r="C31">
        <v>1.1000000000000001</v>
      </c>
      <c r="D31">
        <v>17.951000000000001</v>
      </c>
      <c r="E31">
        <f t="shared" si="7"/>
        <v>5.5707202941340316E-2</v>
      </c>
      <c r="F31">
        <f t="shared" si="8"/>
        <v>94.723233602448431</v>
      </c>
      <c r="G31">
        <f t="shared" si="9"/>
        <v>5.2767663975515688</v>
      </c>
      <c r="H31">
        <f t="shared" si="10"/>
        <v>96.043467128410995</v>
      </c>
      <c r="I31">
        <f t="shared" si="11"/>
        <v>1.844601882306494</v>
      </c>
      <c r="J31">
        <f>B31-C31</f>
        <v>0.20999999999999996</v>
      </c>
      <c r="L31">
        <v>11.051</v>
      </c>
      <c r="M31" s="29">
        <f t="shared" si="1"/>
        <v>9.0489548457153193E-2</v>
      </c>
      <c r="N31">
        <f t="shared" si="2"/>
        <v>91.701933449506257</v>
      </c>
      <c r="O31">
        <f t="shared" si="3"/>
        <v>8.2980665504937434</v>
      </c>
      <c r="Q31">
        <f t="shared" si="4"/>
        <v>1.6808202614072938</v>
      </c>
      <c r="AB31">
        <v>12.287904000000001</v>
      </c>
      <c r="AC31">
        <v>100</v>
      </c>
      <c r="AD31">
        <v>12.287904000000001</v>
      </c>
      <c r="AE31">
        <v>100</v>
      </c>
      <c r="AF31">
        <f t="shared" si="17"/>
        <v>2.3160000000000003</v>
      </c>
      <c r="AG31">
        <f t="shared" si="18"/>
        <v>100</v>
      </c>
      <c r="AK31">
        <v>210</v>
      </c>
      <c r="AL31">
        <f t="shared" si="21"/>
        <v>9.4499999999999993</v>
      </c>
      <c r="AM31" s="32">
        <v>2.8855686585990692E-2</v>
      </c>
      <c r="AN31" s="32">
        <v>140</v>
      </c>
      <c r="AO31">
        <f t="shared" si="20"/>
        <v>6.2640000000000002</v>
      </c>
      <c r="AP31" s="32">
        <v>7.8960917893264926E-2</v>
      </c>
      <c r="AR31" s="32">
        <v>0.10902838004192129</v>
      </c>
      <c r="AT31">
        <v>4.9868766404199474E-2</v>
      </c>
      <c r="AU31">
        <f t="shared" si="19"/>
        <v>6.712197204140434E-2</v>
      </c>
      <c r="AV31">
        <f t="shared" si="15"/>
        <v>6.29</v>
      </c>
      <c r="AW31">
        <f t="shared" si="16"/>
        <v>93.71</v>
      </c>
      <c r="BA31">
        <f t="shared" si="5"/>
        <v>6.712197204140434E-2</v>
      </c>
      <c r="BB31">
        <v>6.29</v>
      </c>
    </row>
    <row r="32" spans="1:54" x14ac:dyDescent="0.25">
      <c r="A32">
        <f t="shared" si="6"/>
        <v>0</v>
      </c>
      <c r="C32">
        <v>1.0569999999999999</v>
      </c>
      <c r="H32">
        <f t="shared" si="10"/>
        <v>95.599183254695077</v>
      </c>
      <c r="I32" t="e">
        <f t="shared" si="11"/>
        <v>#NUM!</v>
      </c>
      <c r="L32">
        <v>10.005000000000001</v>
      </c>
      <c r="M32" s="29">
        <f t="shared" si="1"/>
        <v>9.9950024987506242E-2</v>
      </c>
      <c r="N32">
        <f t="shared" si="2"/>
        <v>90.913221263062255</v>
      </c>
      <c r="O32">
        <f t="shared" si="3"/>
        <v>9.0867787369377453</v>
      </c>
      <c r="Q32">
        <f t="shared" si="4"/>
        <v>1.6148197383041882</v>
      </c>
      <c r="AK32">
        <v>240</v>
      </c>
      <c r="AL32">
        <f t="shared" si="21"/>
        <v>11.07</v>
      </c>
      <c r="AM32" s="32">
        <v>4.2106617896091582E-2</v>
      </c>
      <c r="AN32" s="32">
        <v>160</v>
      </c>
      <c r="AO32">
        <f t="shared" si="20"/>
        <v>7.3440000000000003</v>
      </c>
      <c r="AP32" s="32">
        <v>8.5792199021267404E-2</v>
      </c>
      <c r="AR32" s="32">
        <v>8.0402147407952415E-2</v>
      </c>
      <c r="AT32">
        <v>6.712197204140434E-2</v>
      </c>
      <c r="AU32">
        <f t="shared" si="19"/>
        <v>6.3151180097809914E-2</v>
      </c>
      <c r="AV32">
        <f t="shared" si="15"/>
        <v>5.94</v>
      </c>
      <c r="AW32">
        <f t="shared" si="16"/>
        <v>94.06</v>
      </c>
      <c r="BA32">
        <f t="shared" si="5"/>
        <v>6.3151180097809914E-2</v>
      </c>
      <c r="BB32">
        <v>5.94</v>
      </c>
    </row>
    <row r="33" spans="1:49" x14ac:dyDescent="0.25">
      <c r="A33">
        <f t="shared" si="6"/>
        <v>1.204</v>
      </c>
      <c r="B33">
        <v>1.204</v>
      </c>
      <c r="C33">
        <v>1</v>
      </c>
      <c r="D33">
        <v>14.018000000000001</v>
      </c>
      <c r="E33">
        <f t="shared" si="7"/>
        <v>7.1336852618062482E-2</v>
      </c>
      <c r="F33">
        <f t="shared" si="8"/>
        <v>93.341323744839528</v>
      </c>
      <c r="G33">
        <f t="shared" si="9"/>
        <v>6.6586762551604721</v>
      </c>
      <c r="H33">
        <f t="shared" si="10"/>
        <v>94.910085905341177</v>
      </c>
      <c r="I33">
        <f t="shared" si="11"/>
        <v>1.6789387650719991</v>
      </c>
      <c r="J33">
        <f>B33-C33</f>
        <v>0.20399999999999996</v>
      </c>
      <c r="L33">
        <v>8.7530000000000001</v>
      </c>
      <c r="M33" s="29">
        <f t="shared" si="1"/>
        <v>0.11424654404204272</v>
      </c>
      <c r="N33">
        <f t="shared" si="2"/>
        <v>89.746744591407762</v>
      </c>
      <c r="O33">
        <f t="shared" si="3"/>
        <v>10.253255408592238</v>
      </c>
      <c r="Q33">
        <f t="shared" si="4"/>
        <v>1.5276840490102053</v>
      </c>
      <c r="AB33">
        <v>12.223904000000001</v>
      </c>
      <c r="AC33">
        <v>100</v>
      </c>
      <c r="AD33">
        <v>12.223904000000001</v>
      </c>
      <c r="AE33">
        <v>100</v>
      </c>
      <c r="AF33">
        <f>AF31-AF$19</f>
        <v>2.3055000000000003</v>
      </c>
      <c r="AG33">
        <f t="shared" si="18"/>
        <v>100</v>
      </c>
      <c r="AK33">
        <v>270</v>
      </c>
      <c r="AL33">
        <f t="shared" si="21"/>
        <v>12.69</v>
      </c>
      <c r="AM33" s="32">
        <v>0</v>
      </c>
      <c r="AN33" s="32">
        <v>180</v>
      </c>
      <c r="AO33">
        <f t="shared" si="20"/>
        <v>8.4239999999999995</v>
      </c>
      <c r="AP33" s="32">
        <v>0</v>
      </c>
      <c r="AR33" s="32">
        <v>0.11546016635972919</v>
      </c>
      <c r="AT33">
        <v>6.3151180097809914E-2</v>
      </c>
      <c r="AU33">
        <f t="shared" si="19"/>
        <v>0</v>
      </c>
      <c r="AV33">
        <f t="shared" si="15"/>
        <v>0</v>
      </c>
      <c r="AW33">
        <f t="shared" si="16"/>
        <v>100</v>
      </c>
    </row>
    <row r="34" spans="1:49" x14ac:dyDescent="0.25">
      <c r="A34">
        <f t="shared" si="6"/>
        <v>0</v>
      </c>
      <c r="C34">
        <v>0.9</v>
      </c>
      <c r="D34">
        <v>10.872999999999999</v>
      </c>
      <c r="E34">
        <f t="shared" si="7"/>
        <v>9.197093718384991E-2</v>
      </c>
      <c r="F34">
        <f t="shared" si="8"/>
        <v>91.577528846963702</v>
      </c>
      <c r="G34">
        <f t="shared" si="9"/>
        <v>8.4224711530362981</v>
      </c>
      <c r="H34">
        <f t="shared" si="10"/>
        <v>93.36028010365834</v>
      </c>
      <c r="I34">
        <f t="shared" si="11"/>
        <v>1.515415283751951</v>
      </c>
      <c r="L34">
        <v>6.8840000000000003</v>
      </c>
      <c r="M34" s="29">
        <f t="shared" si="1"/>
        <v>0.14526438117373619</v>
      </c>
      <c r="N34">
        <f t="shared" si="2"/>
        <v>87.31608320649417</v>
      </c>
      <c r="O34">
        <f t="shared" si="3"/>
        <v>12.68391679350583</v>
      </c>
      <c r="Q34">
        <f t="shared" si="4"/>
        <v>1.3756913357157541</v>
      </c>
      <c r="AB34">
        <v>12.159904000000001</v>
      </c>
      <c r="AC34">
        <v>100</v>
      </c>
      <c r="AD34">
        <v>12.159904000000001</v>
      </c>
      <c r="AE34">
        <v>100</v>
      </c>
      <c r="AF34">
        <f t="shared" si="17"/>
        <v>2.2950000000000004</v>
      </c>
      <c r="AG34">
        <f t="shared" si="18"/>
        <v>100</v>
      </c>
      <c r="AK34">
        <v>300</v>
      </c>
      <c r="AL34">
        <f t="shared" si="21"/>
        <v>14.31</v>
      </c>
      <c r="AM34" s="32">
        <v>6.3422625377514988E-2</v>
      </c>
      <c r="AN34" s="32">
        <v>200</v>
      </c>
      <c r="AO34">
        <f t="shared" si="20"/>
        <v>9.5039999999999996</v>
      </c>
      <c r="AP34" s="32">
        <v>9.4190288406618528E-2</v>
      </c>
      <c r="AR34" s="32">
        <v>0.11627823904875234</v>
      </c>
    </row>
    <row r="35" spans="1:49" x14ac:dyDescent="0.25">
      <c r="A35">
        <f t="shared" si="6"/>
        <v>1.217741935483871</v>
      </c>
      <c r="B35">
        <v>1.0569999999999999</v>
      </c>
      <c r="C35">
        <v>0.86799999999999999</v>
      </c>
      <c r="D35">
        <v>10.007</v>
      </c>
      <c r="E35">
        <f t="shared" si="7"/>
        <v>9.9930048965723994E-2</v>
      </c>
      <c r="F35">
        <f t="shared" si="8"/>
        <v>90.914872353956568</v>
      </c>
      <c r="G35">
        <f t="shared" si="9"/>
        <v>9.085127646043432</v>
      </c>
      <c r="H35">
        <f t="shared" si="10"/>
        <v>92.752833794961433</v>
      </c>
      <c r="I35">
        <f t="shared" si="11"/>
        <v>1.4634037746950808</v>
      </c>
      <c r="J35">
        <f>B35-C35</f>
        <v>0.18899999999999995</v>
      </c>
      <c r="L35">
        <v>6.3680000000000003</v>
      </c>
      <c r="M35" s="29">
        <f t="shared" si="1"/>
        <v>0.15703517587939697</v>
      </c>
      <c r="N35">
        <f t="shared" si="2"/>
        <v>86.427795874049949</v>
      </c>
      <c r="O35">
        <f t="shared" si="3"/>
        <v>13.572204125950051</v>
      </c>
      <c r="Q35">
        <f t="shared" si="4"/>
        <v>1.3274617253997782</v>
      </c>
      <c r="AB35">
        <v>12.095904000000001</v>
      </c>
      <c r="AC35">
        <v>100</v>
      </c>
      <c r="AD35">
        <v>12.095904000000001</v>
      </c>
      <c r="AE35">
        <v>100</v>
      </c>
      <c r="AF35">
        <f t="shared" si="17"/>
        <v>2.2845000000000004</v>
      </c>
      <c r="AG35">
        <f t="shared" si="18"/>
        <v>100</v>
      </c>
      <c r="AK35">
        <v>330</v>
      </c>
      <c r="AL35">
        <f t="shared" si="21"/>
        <v>15.93</v>
      </c>
      <c r="AM35" s="32">
        <v>4.4698155271444003E-2</v>
      </c>
      <c r="AN35" s="32">
        <v>220</v>
      </c>
      <c r="AO35">
        <f t="shared" si="20"/>
        <v>10.584</v>
      </c>
      <c r="AP35" s="32">
        <v>6.2284847461192075E-2</v>
      </c>
      <c r="AR35" s="32">
        <v>0.13960243829337698</v>
      </c>
    </row>
    <row r="36" spans="1:49" x14ac:dyDescent="0.25">
      <c r="A36">
        <f t="shared" si="6"/>
        <v>0</v>
      </c>
      <c r="C36">
        <v>0.8</v>
      </c>
      <c r="D36">
        <v>8.359</v>
      </c>
      <c r="E36">
        <f t="shared" si="7"/>
        <v>0.11963153487259241</v>
      </c>
      <c r="F36">
        <f t="shared" si="8"/>
        <v>89.31509776685543</v>
      </c>
      <c r="G36">
        <f t="shared" si="9"/>
        <v>10.68490223314457</v>
      </c>
      <c r="H36">
        <f t="shared" si="10"/>
        <v>91.24129763279376</v>
      </c>
      <c r="I36">
        <f t="shared" si="11"/>
        <v>1.3531304147197849</v>
      </c>
      <c r="L36">
        <v>5.3630000000000004</v>
      </c>
      <c r="M36" s="29">
        <f t="shared" si="1"/>
        <v>0.18646280067126605</v>
      </c>
      <c r="N36">
        <f t="shared" si="2"/>
        <v>84.284142699984287</v>
      </c>
      <c r="O36">
        <f t="shared" si="3"/>
        <v>15.715857300015713</v>
      </c>
      <c r="Q36">
        <f t="shared" si="4"/>
        <v>1.2243675794354967</v>
      </c>
      <c r="AB36">
        <v>12.031904000000001</v>
      </c>
      <c r="AC36">
        <v>100</v>
      </c>
      <c r="AD36">
        <v>12.031904000000001</v>
      </c>
      <c r="AE36">
        <v>100</v>
      </c>
      <c r="AF36">
        <f t="shared" si="17"/>
        <v>2.2740000000000005</v>
      </c>
      <c r="AG36">
        <f t="shared" si="18"/>
        <v>100</v>
      </c>
      <c r="AK36">
        <v>360</v>
      </c>
      <c r="AL36">
        <f t="shared" si="21"/>
        <v>17.55</v>
      </c>
      <c r="AM36" s="32">
        <v>6.0334769027184876E-2</v>
      </c>
      <c r="AN36" s="32">
        <v>240</v>
      </c>
      <c r="AO36">
        <f t="shared" si="20"/>
        <v>11.664</v>
      </c>
      <c r="AP36" s="32">
        <v>8.7028813867006394E-2</v>
      </c>
      <c r="AR36" s="32">
        <v>0.10393818830532274</v>
      </c>
    </row>
    <row r="37" spans="1:49" x14ac:dyDescent="0.25">
      <c r="A37">
        <f t="shared" si="6"/>
        <v>0</v>
      </c>
      <c r="C37">
        <v>0.7</v>
      </c>
      <c r="D37">
        <v>6.3479999999999999</v>
      </c>
      <c r="E37">
        <f t="shared" si="7"/>
        <v>0.15752993068683049</v>
      </c>
      <c r="F37">
        <f t="shared" si="8"/>
        <v>86.390854654327697</v>
      </c>
      <c r="G37">
        <f t="shared" si="9"/>
        <v>13.609145345672303</v>
      </c>
      <c r="H37">
        <f t="shared" si="10"/>
        <v>88.344428636215397</v>
      </c>
      <c r="I37">
        <f t="shared" si="11"/>
        <v>1.1912408730612321</v>
      </c>
      <c r="L37">
        <v>4.1260000000000003</v>
      </c>
      <c r="M37" s="29">
        <f t="shared" si="1"/>
        <v>0.24236548715462916</v>
      </c>
      <c r="N37">
        <f t="shared" si="2"/>
        <v>80.491611392898946</v>
      </c>
      <c r="O37">
        <f t="shared" si="3"/>
        <v>19.508388607101054</v>
      </c>
      <c r="Q37">
        <f t="shared" si="4"/>
        <v>1.0733831423307703</v>
      </c>
      <c r="AB37">
        <v>11.967904000000001</v>
      </c>
      <c r="AC37">
        <v>100</v>
      </c>
      <c r="AD37">
        <v>11.967904000000001</v>
      </c>
      <c r="AE37">
        <v>100</v>
      </c>
      <c r="AF37">
        <f t="shared" si="17"/>
        <v>2.2635000000000005</v>
      </c>
      <c r="AG37">
        <f t="shared" si="18"/>
        <v>100</v>
      </c>
      <c r="AK37">
        <v>390</v>
      </c>
      <c r="AL37">
        <f t="shared" si="21"/>
        <v>19.169999999999998</v>
      </c>
      <c r="AM37" s="32">
        <v>4.4412497023424084E-2</v>
      </c>
      <c r="AN37" s="32">
        <v>260</v>
      </c>
      <c r="AO37">
        <f t="shared" si="20"/>
        <v>12.744</v>
      </c>
      <c r="AP37" s="32">
        <v>6.353664256337882E-2</v>
      </c>
      <c r="AR37" s="32">
        <v>8.3106891808463396E-2</v>
      </c>
    </row>
    <row r="38" spans="1:49" x14ac:dyDescent="0.25">
      <c r="A38">
        <f t="shared" si="6"/>
        <v>0</v>
      </c>
      <c r="C38">
        <v>0.6</v>
      </c>
      <c r="D38">
        <v>4.47</v>
      </c>
      <c r="E38">
        <f t="shared" si="7"/>
        <v>0.2237136465324385</v>
      </c>
      <c r="F38">
        <f t="shared" si="8"/>
        <v>81.718464351005494</v>
      </c>
      <c r="G38">
        <f t="shared" si="9"/>
        <v>18.281535648994506</v>
      </c>
      <c r="H38">
        <f t="shared" si="10"/>
        <v>84.384579032797731</v>
      </c>
      <c r="I38">
        <f t="shared" si="11"/>
        <v>1.0141403853002513</v>
      </c>
      <c r="L38">
        <v>3.1190000000000002</v>
      </c>
      <c r="M38" s="29">
        <f t="shared" si="1"/>
        <v>0.32061558191728118</v>
      </c>
      <c r="N38">
        <f t="shared" si="2"/>
        <v>75.722262685117755</v>
      </c>
      <c r="O38">
        <f t="shared" si="3"/>
        <v>24.277737314882245</v>
      </c>
      <c r="Q38">
        <f t="shared" si="4"/>
        <v>0.9223097643350795</v>
      </c>
      <c r="AB38">
        <v>11.903904000000001</v>
      </c>
      <c r="AC38">
        <v>100</v>
      </c>
      <c r="AD38">
        <v>11.903904000000001</v>
      </c>
      <c r="AE38">
        <v>100</v>
      </c>
      <c r="AF38">
        <f t="shared" si="17"/>
        <v>2.2530000000000006</v>
      </c>
      <c r="AG38">
        <f t="shared" si="18"/>
        <v>100</v>
      </c>
      <c r="AK38">
        <v>420</v>
      </c>
      <c r="AL38">
        <f t="shared" si="21"/>
        <v>20.79</v>
      </c>
      <c r="AM38" s="32">
        <v>7.6592091139970953E-2</v>
      </c>
      <c r="AN38" s="32">
        <v>280</v>
      </c>
      <c r="AO38">
        <f t="shared" si="20"/>
        <v>13.824</v>
      </c>
      <c r="AP38" s="32">
        <v>6.8873748883026706E-2</v>
      </c>
      <c r="AR38" s="32">
        <v>8.0890934894715855E-2</v>
      </c>
    </row>
    <row r="39" spans="1:49" x14ac:dyDescent="0.25">
      <c r="A39">
        <f t="shared" si="6"/>
        <v>0</v>
      </c>
      <c r="C39">
        <v>0.5</v>
      </c>
      <c r="D39">
        <v>3.4540000000000002</v>
      </c>
      <c r="E39">
        <f t="shared" si="7"/>
        <v>0.28951939779965258</v>
      </c>
      <c r="F39">
        <f t="shared" si="8"/>
        <v>77.548271216883691</v>
      </c>
      <c r="G39">
        <f t="shared" si="9"/>
        <v>22.451728783116309</v>
      </c>
      <c r="H39">
        <f t="shared" si="10"/>
        <v>78.972501139919046</v>
      </c>
      <c r="I39">
        <f t="shared" si="11"/>
        <v>0.86576179548950982</v>
      </c>
      <c r="L39">
        <v>2.2999999999999998</v>
      </c>
      <c r="M39" s="29">
        <f t="shared" si="1"/>
        <v>0.43478260869565222</v>
      </c>
      <c r="N39">
        <f t="shared" si="2"/>
        <v>69.696969696969688</v>
      </c>
      <c r="O39">
        <f t="shared" si="3"/>
        <v>30.303030303030312</v>
      </c>
      <c r="Q39">
        <f t="shared" si="4"/>
        <v>0.77085837472916074</v>
      </c>
      <c r="AB39">
        <v>11.839904000000001</v>
      </c>
      <c r="AC39">
        <v>100</v>
      </c>
      <c r="AD39">
        <v>11.839904000000001</v>
      </c>
      <c r="AE39">
        <v>100</v>
      </c>
      <c r="AF39">
        <f t="shared" si="17"/>
        <v>2.2425000000000006</v>
      </c>
      <c r="AG39">
        <f t="shared" si="18"/>
        <v>100</v>
      </c>
      <c r="AK39">
        <v>450</v>
      </c>
      <c r="AL39">
        <f t="shared" si="21"/>
        <v>22.41</v>
      </c>
      <c r="AM39" s="32">
        <v>5.7736761104911598E-2</v>
      </c>
      <c r="AN39" s="32">
        <v>300</v>
      </c>
      <c r="AO39">
        <f t="shared" si="20"/>
        <v>14.904</v>
      </c>
      <c r="AP39" s="32">
        <v>0.37921332430408344</v>
      </c>
      <c r="AR39" s="32">
        <v>0.1111469147339192</v>
      </c>
    </row>
    <row r="40" spans="1:49" x14ac:dyDescent="0.25">
      <c r="A40">
        <f t="shared" si="6"/>
        <v>0</v>
      </c>
      <c r="C40">
        <v>0.4</v>
      </c>
      <c r="D40">
        <v>2.4260000000000002</v>
      </c>
      <c r="E40">
        <f t="shared" si="7"/>
        <v>0.41220115416323161</v>
      </c>
      <c r="F40">
        <f t="shared" si="8"/>
        <v>70.811441914769418</v>
      </c>
      <c r="G40">
        <f t="shared" si="9"/>
        <v>29.188558085230582</v>
      </c>
      <c r="H40">
        <f t="shared" si="10"/>
        <v>71.577287102991647</v>
      </c>
      <c r="I40">
        <f t="shared" si="11"/>
        <v>0.70059563041532702</v>
      </c>
      <c r="L40">
        <v>1.6339999999999999</v>
      </c>
      <c r="M40" s="29">
        <f t="shared" si="1"/>
        <v>0.61199510403916768</v>
      </c>
      <c r="N40">
        <f t="shared" si="2"/>
        <v>62.034927866362942</v>
      </c>
      <c r="O40">
        <f t="shared" si="3"/>
        <v>37.965072133637058</v>
      </c>
      <c r="Q40">
        <f t="shared" si="4"/>
        <v>0.61866563961457732</v>
      </c>
      <c r="AB40">
        <v>11.775904000000001</v>
      </c>
      <c r="AC40">
        <v>100</v>
      </c>
      <c r="AD40">
        <v>11.775904000000001</v>
      </c>
      <c r="AE40">
        <v>100</v>
      </c>
      <c r="AF40">
        <f t="shared" si="17"/>
        <v>2.2320000000000007</v>
      </c>
      <c r="AG40">
        <f t="shared" si="18"/>
        <v>100</v>
      </c>
      <c r="AK40">
        <v>480</v>
      </c>
      <c r="AL40">
        <f t="shared" si="21"/>
        <v>24.03</v>
      </c>
      <c r="AM40" s="32">
        <v>6.4028584075316225E-2</v>
      </c>
      <c r="AN40" s="32">
        <v>320</v>
      </c>
      <c r="AO40">
        <f t="shared" si="20"/>
        <v>15.984</v>
      </c>
      <c r="AP40" s="32">
        <v>8.3244272617865087E-2</v>
      </c>
      <c r="AR40" s="32">
        <v>0.11070250829972531</v>
      </c>
    </row>
    <row r="41" spans="1:49" x14ac:dyDescent="0.25">
      <c r="A41">
        <f t="shared" si="6"/>
        <v>0</v>
      </c>
      <c r="C41">
        <v>0.3</v>
      </c>
      <c r="D41">
        <v>1.6040000000000001</v>
      </c>
      <c r="E41">
        <f t="shared" si="7"/>
        <v>0.6234413965087281</v>
      </c>
      <c r="F41">
        <f t="shared" si="8"/>
        <v>61.597542242703533</v>
      </c>
      <c r="G41">
        <f t="shared" si="9"/>
        <v>38.402457757296467</v>
      </c>
      <c r="H41">
        <f t="shared" si="10"/>
        <v>61.476723692355556</v>
      </c>
      <c r="I41">
        <f t="shared" si="11"/>
        <v>0.53248564412244981</v>
      </c>
      <c r="L41">
        <v>1.0920000000000001</v>
      </c>
      <c r="M41" s="29">
        <f t="shared" si="1"/>
        <v>0.91575091575091572</v>
      </c>
      <c r="N41">
        <f t="shared" si="2"/>
        <v>52.198852772466537</v>
      </c>
      <c r="O41">
        <f t="shared" si="3"/>
        <v>47.801147227533463</v>
      </c>
      <c r="Q41">
        <f t="shared" si="4"/>
        <v>0.46524215373838501</v>
      </c>
      <c r="AB41">
        <v>11.711904000000001</v>
      </c>
      <c r="AC41">
        <v>21.550827570962561</v>
      </c>
      <c r="AD41">
        <v>11.711904000000001</v>
      </c>
      <c r="AE41">
        <v>96.521199999999993</v>
      </c>
      <c r="AF41">
        <f t="shared" si="17"/>
        <v>2.2215000000000007</v>
      </c>
      <c r="AG41">
        <f t="shared" si="18"/>
        <v>96.521199999999993</v>
      </c>
      <c r="AK41">
        <v>510</v>
      </c>
      <c r="AL41">
        <f t="shared" si="21"/>
        <v>25.65</v>
      </c>
      <c r="AM41" s="32">
        <v>5.0605148807772803E-2</v>
      </c>
      <c r="AN41" s="32">
        <v>340</v>
      </c>
      <c r="AO41">
        <f t="shared" si="20"/>
        <v>17.064</v>
      </c>
      <c r="AP41" s="32">
        <v>9.8768390634099187E-2</v>
      </c>
      <c r="AR41" s="32">
        <v>0.10428318232263835</v>
      </c>
    </row>
    <row r="42" spans="1:49" x14ac:dyDescent="0.25">
      <c r="A42">
        <f t="shared" si="6"/>
        <v>0</v>
      </c>
      <c r="C42">
        <v>0.28000000000000003</v>
      </c>
      <c r="H42">
        <f t="shared" si="10"/>
        <v>59.051386529595369</v>
      </c>
      <c r="I42" t="e">
        <f t="shared" si="11"/>
        <v>#NUM!</v>
      </c>
      <c r="L42">
        <v>1.0049999999999999</v>
      </c>
      <c r="M42" s="29">
        <f t="shared" si="1"/>
        <v>0.99502487562189068</v>
      </c>
      <c r="N42">
        <f t="shared" si="2"/>
        <v>50.124688279301743</v>
      </c>
      <c r="O42">
        <f t="shared" si="3"/>
        <v>49.875311720698257</v>
      </c>
      <c r="S42" t="s">
        <v>79</v>
      </c>
      <c r="T42" t="s">
        <v>80</v>
      </c>
      <c r="V42" t="s">
        <v>81</v>
      </c>
      <c r="W42" t="s">
        <v>82</v>
      </c>
      <c r="X42" t="s">
        <v>83</v>
      </c>
      <c r="AB42">
        <v>11.647904</v>
      </c>
      <c r="AC42">
        <v>100</v>
      </c>
      <c r="AD42">
        <v>11.647904</v>
      </c>
      <c r="AE42">
        <v>100</v>
      </c>
      <c r="AF42">
        <f t="shared" si="17"/>
        <v>2.2110000000000007</v>
      </c>
      <c r="AG42">
        <f t="shared" si="18"/>
        <v>100</v>
      </c>
      <c r="AK42">
        <v>540</v>
      </c>
      <c r="AL42">
        <f t="shared" si="21"/>
        <v>27.27</v>
      </c>
      <c r="AM42" s="32">
        <v>6.910947466103888E-2</v>
      </c>
      <c r="AN42" s="32">
        <v>360</v>
      </c>
      <c r="AO42">
        <f t="shared" si="20"/>
        <v>18.143999999999998</v>
      </c>
      <c r="AP42" s="32">
        <v>9.6598896820958194E-2</v>
      </c>
      <c r="AR42" s="32">
        <v>0.12573693554142881</v>
      </c>
    </row>
    <row r="43" spans="1:49" x14ac:dyDescent="0.25">
      <c r="A43">
        <f t="shared" si="6"/>
        <v>0</v>
      </c>
      <c r="C43">
        <v>0.25</v>
      </c>
      <c r="D43">
        <v>1.256</v>
      </c>
      <c r="E43">
        <f t="shared" ref="E43:E52" si="22">1/D43</f>
        <v>0.79617834394904463</v>
      </c>
      <c r="F43">
        <f t="shared" ref="F43:F52" si="23">100*D43/(D43+1)</f>
        <v>55.673758865248217</v>
      </c>
      <c r="G43">
        <f t="shared" ref="G43:G52" si="24">100-F43</f>
        <v>44.326241134751783</v>
      </c>
      <c r="H43">
        <f t="shared" si="10"/>
        <v>55.119080589039221</v>
      </c>
      <c r="I43">
        <f t="shared" si="11"/>
        <v>0.44678829313083279</v>
      </c>
      <c r="L43">
        <v>0.86</v>
      </c>
      <c r="M43" s="29">
        <f t="shared" si="1"/>
        <v>1.1627906976744187</v>
      </c>
      <c r="N43">
        <f t="shared" si="2"/>
        <v>46.236559139784951</v>
      </c>
      <c r="O43">
        <f t="shared" si="3"/>
        <v>53.763440860215049</v>
      </c>
      <c r="P43" t="s">
        <v>74</v>
      </c>
      <c r="R43">
        <v>0.53</v>
      </c>
      <c r="S43">
        <v>0.7</v>
      </c>
      <c r="T43">
        <v>70</v>
      </c>
      <c r="V43">
        <f>(S43-0.2)/T43</f>
        <v>7.1428571428571418E-3</v>
      </c>
      <c r="W43">
        <f>V43*10</f>
        <v>7.1428571428571425E-2</v>
      </c>
      <c r="X43">
        <f>W43*9</f>
        <v>0.64285714285714279</v>
      </c>
      <c r="Y43">
        <f>S43-X43</f>
        <v>5.7142857142857162E-2</v>
      </c>
      <c r="AB43">
        <v>11.583904</v>
      </c>
      <c r="AC43">
        <v>18.216534212093482</v>
      </c>
      <c r="AD43">
        <v>11.583904</v>
      </c>
      <c r="AE43">
        <v>95.744100000000003</v>
      </c>
      <c r="AF43">
        <f t="shared" si="17"/>
        <v>2.2005000000000008</v>
      </c>
      <c r="AG43">
        <f t="shared" si="18"/>
        <v>95.744100000000003</v>
      </c>
      <c r="AK43">
        <v>570</v>
      </c>
      <c r="AL43">
        <f t="shared" si="21"/>
        <v>28.89</v>
      </c>
      <c r="AM43" s="32">
        <v>5.7007907473783564E-2</v>
      </c>
      <c r="AN43" s="32">
        <v>380</v>
      </c>
      <c r="AO43">
        <f t="shared" si="20"/>
        <v>19.224</v>
      </c>
      <c r="AP43" s="32">
        <v>0.12863759898151744</v>
      </c>
      <c r="AR43" s="32">
        <v>0.10738671158226719</v>
      </c>
    </row>
    <row r="44" spans="1:49" x14ac:dyDescent="0.25">
      <c r="A44">
        <f t="shared" si="6"/>
        <v>1.3333333333333335</v>
      </c>
      <c r="B44">
        <v>0.28000000000000003</v>
      </c>
      <c r="C44">
        <v>0.21</v>
      </c>
      <c r="D44">
        <v>1.0049999999999999</v>
      </c>
      <c r="E44">
        <f t="shared" si="22"/>
        <v>0.99502487562189068</v>
      </c>
      <c r="F44">
        <f t="shared" si="23"/>
        <v>50.124688279301743</v>
      </c>
      <c r="G44">
        <f t="shared" si="24"/>
        <v>49.875311720698257</v>
      </c>
      <c r="H44">
        <f t="shared" si="10"/>
        <v>49.274554752494915</v>
      </c>
      <c r="I44">
        <f t="shared" si="11"/>
        <v>0.37739581704685288</v>
      </c>
      <c r="J44">
        <f>B44-C44</f>
        <v>7.0000000000000034E-2</v>
      </c>
      <c r="L44">
        <v>0.69099999999999995</v>
      </c>
      <c r="M44" s="29">
        <f t="shared" si="1"/>
        <v>1.4471780028943562</v>
      </c>
      <c r="N44">
        <f t="shared" si="2"/>
        <v>40.86339444115908</v>
      </c>
      <c r="O44">
        <f t="shared" si="3"/>
        <v>59.13660555884092</v>
      </c>
      <c r="P44" t="s">
        <v>75</v>
      </c>
      <c r="R44">
        <v>0.39</v>
      </c>
      <c r="S44">
        <v>0.35</v>
      </c>
      <c r="T44">
        <v>30</v>
      </c>
      <c r="V44">
        <f>(S44-0.2)/T44</f>
        <v>4.9999999999999992E-3</v>
      </c>
      <c r="W44">
        <f>V44*10</f>
        <v>4.9999999999999989E-2</v>
      </c>
      <c r="X44">
        <f>W44*9</f>
        <v>0.4499999999999999</v>
      </c>
      <c r="Y44">
        <f>S44-X44</f>
        <v>-9.9999999999999922E-2</v>
      </c>
      <c r="AB44">
        <v>11.519904</v>
      </c>
      <c r="AC44">
        <v>100</v>
      </c>
      <c r="AD44">
        <v>11.519904</v>
      </c>
      <c r="AE44">
        <v>100</v>
      </c>
      <c r="AF44">
        <f t="shared" si="17"/>
        <v>2.1900000000000008</v>
      </c>
      <c r="AG44">
        <f t="shared" si="18"/>
        <v>100</v>
      </c>
      <c r="AK44">
        <v>600</v>
      </c>
      <c r="AL44">
        <f t="shared" si="21"/>
        <v>30.509999999999998</v>
      </c>
      <c r="AM44" s="32">
        <v>6.067811279888586E-2</v>
      </c>
      <c r="AN44" s="32">
        <v>400</v>
      </c>
      <c r="AO44">
        <f t="shared" si="20"/>
        <v>20.303999999999998</v>
      </c>
      <c r="AP44" s="32">
        <v>0.10053838348487749</v>
      </c>
      <c r="AR44" s="32">
        <v>0.10010032915001847</v>
      </c>
    </row>
    <row r="45" spans="1:49" x14ac:dyDescent="0.25">
      <c r="C45">
        <v>0.2</v>
      </c>
      <c r="D45">
        <v>0.94599999999999995</v>
      </c>
      <c r="E45">
        <f t="shared" si="22"/>
        <v>1.0570824524312896</v>
      </c>
      <c r="F45">
        <f t="shared" si="23"/>
        <v>48.612538540596091</v>
      </c>
      <c r="G45">
        <f t="shared" si="24"/>
        <v>51.387461459403909</v>
      </c>
      <c r="H45">
        <f t="shared" si="10"/>
        <v>47.697272147917431</v>
      </c>
      <c r="L45">
        <v>0.65100000000000002</v>
      </c>
      <c r="M45" s="29">
        <f t="shared" si="1"/>
        <v>1.5360983102918586</v>
      </c>
      <c r="N45">
        <f t="shared" si="2"/>
        <v>39.430648092065418</v>
      </c>
      <c r="O45">
        <f t="shared" si="3"/>
        <v>60.569351907934582</v>
      </c>
      <c r="P45" t="s">
        <v>76</v>
      </c>
      <c r="R45">
        <v>0.35</v>
      </c>
      <c r="S45">
        <v>0.47</v>
      </c>
      <c r="T45">
        <v>40</v>
      </c>
      <c r="V45">
        <f>(S45-0.2)/T45</f>
        <v>6.7499999999999991E-3</v>
      </c>
      <c r="W45">
        <f>V45*10</f>
        <v>6.7499999999999991E-2</v>
      </c>
      <c r="X45">
        <f>W45*9</f>
        <v>0.60749999999999993</v>
      </c>
      <c r="Y45">
        <f>S45-X45</f>
        <v>-0.13749999999999996</v>
      </c>
      <c r="AB45">
        <v>11.455904</v>
      </c>
      <c r="AC45">
        <v>17.975500925290973</v>
      </c>
      <c r="AD45">
        <v>11.455904</v>
      </c>
      <c r="AE45">
        <v>95.677300000000002</v>
      </c>
      <c r="AF45">
        <f t="shared" si="17"/>
        <v>2.1795000000000009</v>
      </c>
      <c r="AG45">
        <f t="shared" si="18"/>
        <v>95.677300000000002</v>
      </c>
      <c r="AK45">
        <v>630</v>
      </c>
      <c r="AL45">
        <f t="shared" si="21"/>
        <v>32.130000000000003</v>
      </c>
      <c r="AM45" s="32">
        <v>5.7967981650599666E-2</v>
      </c>
      <c r="AN45" s="32">
        <v>420</v>
      </c>
      <c r="AO45">
        <f t="shared" si="20"/>
        <v>21.384</v>
      </c>
      <c r="AP45" s="32">
        <v>8.2831062094953473E-2</v>
      </c>
      <c r="AR45" s="32">
        <v>0.11670580720520922</v>
      </c>
    </row>
    <row r="46" spans="1:49" x14ac:dyDescent="0.25">
      <c r="C46">
        <v>0.15</v>
      </c>
      <c r="D46">
        <v>0.66900000000000004</v>
      </c>
      <c r="E46">
        <f t="shared" si="22"/>
        <v>1.4947683109118086</v>
      </c>
      <c r="F46">
        <f t="shared" si="23"/>
        <v>40.083882564409826</v>
      </c>
      <c r="G46">
        <f t="shared" si="24"/>
        <v>59.916117435590174</v>
      </c>
      <c r="H46">
        <f t="shared" si="10"/>
        <v>39.045176406490285</v>
      </c>
      <c r="L46">
        <v>0.46200000000000002</v>
      </c>
      <c r="M46" s="29">
        <f t="shared" si="1"/>
        <v>2.1645021645021645</v>
      </c>
      <c r="N46">
        <f t="shared" si="2"/>
        <v>31.600547195622436</v>
      </c>
      <c r="O46">
        <f t="shared" si="3"/>
        <v>68.39945280437756</v>
      </c>
      <c r="P46" t="s">
        <v>77</v>
      </c>
      <c r="R46">
        <v>1.05</v>
      </c>
      <c r="S46">
        <f>T46*V46+0.2</f>
        <v>12.340773809523808</v>
      </c>
      <c r="T46">
        <v>1900</v>
      </c>
      <c r="V46">
        <f>AVERAGE(V43:V45,V47)</f>
        <v>6.3898809523809524E-3</v>
      </c>
      <c r="W46">
        <f>V46*10</f>
        <v>6.3898809523809524E-2</v>
      </c>
      <c r="X46">
        <f>W46*200</f>
        <v>12.779761904761905</v>
      </c>
      <c r="Y46">
        <f>S46-X46</f>
        <v>-0.43898809523809668</v>
      </c>
      <c r="AB46">
        <v>11.391904</v>
      </c>
      <c r="AC46">
        <v>100</v>
      </c>
      <c r="AD46">
        <v>11.391904</v>
      </c>
      <c r="AE46">
        <v>100</v>
      </c>
      <c r="AF46">
        <f t="shared" si="17"/>
        <v>2.1690000000000009</v>
      </c>
      <c r="AG46">
        <f t="shared" si="18"/>
        <v>100</v>
      </c>
      <c r="AK46">
        <v>660</v>
      </c>
      <c r="AL46">
        <f t="shared" si="21"/>
        <v>33.75</v>
      </c>
      <c r="AM46" s="32">
        <v>6.8335405903191759E-2</v>
      </c>
      <c r="AN46" s="32">
        <v>440</v>
      </c>
      <c r="AO46">
        <f t="shared" si="20"/>
        <v>22.463999999999999</v>
      </c>
      <c r="AP46" s="32">
        <v>0.10967402232219146</v>
      </c>
      <c r="AR46" s="32">
        <v>8.122517913192781E-2</v>
      </c>
    </row>
    <row r="47" spans="1:49" x14ac:dyDescent="0.25">
      <c r="C47">
        <v>0.1</v>
      </c>
      <c r="D47">
        <v>0.42</v>
      </c>
      <c r="E47">
        <f t="shared" si="22"/>
        <v>2.3809523809523809</v>
      </c>
      <c r="F47">
        <f t="shared" si="23"/>
        <v>29.577464788732396</v>
      </c>
      <c r="G47">
        <f t="shared" si="24"/>
        <v>70.422535211267601</v>
      </c>
      <c r="H47">
        <f t="shared" si="10"/>
        <v>28.999091806649062</v>
      </c>
      <c r="L47">
        <v>0.29199999999999998</v>
      </c>
      <c r="M47" s="29">
        <f t="shared" si="1"/>
        <v>3.4246575342465757</v>
      </c>
      <c r="N47">
        <f t="shared" si="2"/>
        <v>22.600619195046438</v>
      </c>
      <c r="O47">
        <f t="shared" si="3"/>
        <v>77.399380804953566</v>
      </c>
      <c r="P47" t="s">
        <v>78</v>
      </c>
      <c r="R47">
        <v>0.26</v>
      </c>
      <c r="S47">
        <v>0.4</v>
      </c>
      <c r="T47">
        <v>30</v>
      </c>
      <c r="V47">
        <f>(S47-0.2)/T47</f>
        <v>6.6666666666666671E-3</v>
      </c>
      <c r="W47">
        <f>V47*10</f>
        <v>6.6666666666666666E-2</v>
      </c>
      <c r="X47">
        <f>W47*9</f>
        <v>0.6</v>
      </c>
      <c r="Y47">
        <f>S47-X47</f>
        <v>-0.19999999999999996</v>
      </c>
      <c r="AB47">
        <v>11.327904</v>
      </c>
      <c r="AC47">
        <v>100</v>
      </c>
      <c r="AD47">
        <v>11.327904</v>
      </c>
      <c r="AE47">
        <v>100</v>
      </c>
      <c r="AF47">
        <f t="shared" si="17"/>
        <v>2.158500000000001</v>
      </c>
      <c r="AG47">
        <f t="shared" si="18"/>
        <v>100</v>
      </c>
      <c r="AK47">
        <v>690</v>
      </c>
      <c r="AL47">
        <f t="shared" si="21"/>
        <v>35.369999999999997</v>
      </c>
      <c r="AM47" s="32">
        <v>7.7304649752273927E-2</v>
      </c>
      <c r="AN47" s="32">
        <v>460</v>
      </c>
      <c r="AO47">
        <f t="shared" si="20"/>
        <v>23.544</v>
      </c>
      <c r="AP47" s="32">
        <v>9.6317796312862886E-2</v>
      </c>
      <c r="AR47" s="32">
        <v>0.10653386048601177</v>
      </c>
    </row>
    <row r="48" spans="1:49" x14ac:dyDescent="0.25">
      <c r="C48">
        <v>0.05</v>
      </c>
      <c r="D48">
        <v>0.19800000000000001</v>
      </c>
      <c r="E48">
        <f t="shared" si="22"/>
        <v>5.0505050505050502</v>
      </c>
      <c r="F48">
        <f t="shared" si="23"/>
        <v>16.527545909849749</v>
      </c>
      <c r="G48">
        <f t="shared" si="24"/>
        <v>83.472454090150251</v>
      </c>
      <c r="H48">
        <f t="shared" si="10"/>
        <v>17.559175914833716</v>
      </c>
      <c r="L48">
        <v>0.13800000000000001</v>
      </c>
      <c r="M48" s="29">
        <f t="shared" si="1"/>
        <v>7.2463768115942022</v>
      </c>
      <c r="N48">
        <f t="shared" si="2"/>
        <v>12.126537785588754</v>
      </c>
      <c r="O48">
        <f t="shared" si="3"/>
        <v>87.873462214411248</v>
      </c>
      <c r="AB48">
        <v>11.263904</v>
      </c>
      <c r="AC48">
        <v>100</v>
      </c>
      <c r="AD48">
        <v>11.263904</v>
      </c>
      <c r="AE48">
        <v>100</v>
      </c>
      <c r="AF48">
        <f t="shared" si="17"/>
        <v>2.148000000000001</v>
      </c>
      <c r="AG48">
        <f t="shared" si="18"/>
        <v>100</v>
      </c>
      <c r="AK48">
        <v>720</v>
      </c>
      <c r="AL48">
        <f t="shared" si="21"/>
        <v>36.99</v>
      </c>
      <c r="AM48" s="32">
        <v>5.8872343421915059E-2</v>
      </c>
      <c r="AN48" s="32">
        <v>480</v>
      </c>
      <c r="AO48">
        <f t="shared" si="20"/>
        <v>24.623999999999999</v>
      </c>
      <c r="AP48" s="32">
        <v>9.7447009787029498E-2</v>
      </c>
      <c r="AR48" s="32">
        <v>0.13223355713816648</v>
      </c>
    </row>
    <row r="49" spans="3:44" x14ac:dyDescent="0.25">
      <c r="C49">
        <v>0.04</v>
      </c>
      <c r="D49">
        <v>0.157</v>
      </c>
      <c r="E49">
        <f t="shared" si="22"/>
        <v>6.369426751592357</v>
      </c>
      <c r="F49">
        <f t="shared" si="23"/>
        <v>13.569576490924804</v>
      </c>
      <c r="G49">
        <f t="shared" si="24"/>
        <v>86.430423509075197</v>
      </c>
      <c r="H49">
        <f t="shared" si="10"/>
        <v>15.189048900586528</v>
      </c>
      <c r="L49">
        <v>0.11</v>
      </c>
      <c r="M49" s="29">
        <f t="shared" si="1"/>
        <v>9.0909090909090917</v>
      </c>
      <c r="N49">
        <f t="shared" si="2"/>
        <v>9.9099099099099082</v>
      </c>
      <c r="O49">
        <f t="shared" si="3"/>
        <v>90.090090090090087</v>
      </c>
      <c r="V49">
        <f>1.18/V46</f>
        <v>184.66697717745691</v>
      </c>
      <c r="AB49">
        <v>11.199904</v>
      </c>
      <c r="AC49">
        <v>100</v>
      </c>
      <c r="AD49">
        <v>11.199904</v>
      </c>
      <c r="AE49">
        <v>100</v>
      </c>
      <c r="AF49">
        <f t="shared" si="17"/>
        <v>2.1375000000000011</v>
      </c>
      <c r="AG49">
        <f t="shared" si="18"/>
        <v>100</v>
      </c>
      <c r="AK49">
        <v>750</v>
      </c>
      <c r="AL49">
        <f t="shared" si="21"/>
        <v>38.61</v>
      </c>
      <c r="AM49" s="32">
        <v>6.9810804016068553E-2</v>
      </c>
      <c r="AN49" s="32">
        <v>500</v>
      </c>
      <c r="AR49" s="32">
        <v>0.116896635683954</v>
      </c>
    </row>
    <row r="50" spans="3:44" x14ac:dyDescent="0.25">
      <c r="C50">
        <v>0.03</v>
      </c>
      <c r="D50">
        <v>0.11600000000000001</v>
      </c>
      <c r="E50">
        <f t="shared" si="22"/>
        <v>8.6206896551724128</v>
      </c>
      <c r="F50">
        <f t="shared" si="23"/>
        <v>10.394265232974911</v>
      </c>
      <c r="G50">
        <f t="shared" si="24"/>
        <v>89.605734767025083</v>
      </c>
      <c r="H50">
        <f t="shared" si="10"/>
        <v>12.902416793493369</v>
      </c>
      <c r="L50">
        <v>8.1000000000000003E-2</v>
      </c>
      <c r="M50" s="29">
        <f t="shared" si="1"/>
        <v>12.345679012345679</v>
      </c>
      <c r="N50">
        <f t="shared" si="2"/>
        <v>7.4930619796484734</v>
      </c>
      <c r="O50">
        <f t="shared" si="3"/>
        <v>92.506938020351527</v>
      </c>
      <c r="AB50">
        <v>11.135904</v>
      </c>
      <c r="AC50">
        <v>15.539211030507476</v>
      </c>
      <c r="AD50">
        <v>11.135904</v>
      </c>
      <c r="AE50">
        <v>94.893299999999996</v>
      </c>
      <c r="AF50">
        <f t="shared" si="17"/>
        <v>2.1270000000000011</v>
      </c>
      <c r="AG50">
        <f t="shared" si="18"/>
        <v>94.893299999999996</v>
      </c>
      <c r="AK50">
        <v>780</v>
      </c>
      <c r="AL50">
        <f t="shared" si="21"/>
        <v>40.229999999999997</v>
      </c>
      <c r="AM50" s="32">
        <v>6.8070039774936225E-2</v>
      </c>
      <c r="AN50" s="32"/>
      <c r="AR50" s="32">
        <v>0.11105690388469895</v>
      </c>
    </row>
    <row r="51" spans="3:44" x14ac:dyDescent="0.25">
      <c r="C51">
        <v>0.02</v>
      </c>
      <c r="D51">
        <v>7.6999999999999999E-2</v>
      </c>
      <c r="E51">
        <f t="shared" si="22"/>
        <v>12.987012987012987</v>
      </c>
      <c r="F51">
        <f t="shared" si="23"/>
        <v>7.1494893221912728</v>
      </c>
      <c r="G51">
        <f t="shared" si="24"/>
        <v>92.850510677808728</v>
      </c>
      <c r="H51">
        <f t="shared" si="10"/>
        <v>10.946639438499574</v>
      </c>
      <c r="L51">
        <v>5.3999999999999999E-2</v>
      </c>
      <c r="M51" s="29">
        <f t="shared" si="1"/>
        <v>18.518518518518519</v>
      </c>
      <c r="N51">
        <f t="shared" si="2"/>
        <v>5.1233396584440225</v>
      </c>
      <c r="O51">
        <f t="shared" si="3"/>
        <v>94.876660341555976</v>
      </c>
      <c r="AB51">
        <v>11.071808000000001</v>
      </c>
      <c r="AC51">
        <v>100</v>
      </c>
      <c r="AD51">
        <v>11.071808000000001</v>
      </c>
      <c r="AE51">
        <v>100</v>
      </c>
      <c r="AF51">
        <f t="shared" si="17"/>
        <v>2.1165000000000012</v>
      </c>
      <c r="AG51">
        <f t="shared" si="18"/>
        <v>100</v>
      </c>
      <c r="AK51">
        <v>810</v>
      </c>
      <c r="AL51">
        <f t="shared" si="21"/>
        <v>41.85</v>
      </c>
      <c r="AM51" s="32">
        <v>6.1520840299561064E-2</v>
      </c>
      <c r="AN51" s="32"/>
      <c r="AR51" s="32">
        <v>0.10205610566511826</v>
      </c>
    </row>
    <row r="52" spans="3:44" x14ac:dyDescent="0.25">
      <c r="C52">
        <v>0.01</v>
      </c>
      <c r="D52">
        <v>3.7999999999999999E-2</v>
      </c>
      <c r="E52">
        <f t="shared" si="22"/>
        <v>26.315789473684212</v>
      </c>
      <c r="F52">
        <f t="shared" si="23"/>
        <v>3.660886319845857</v>
      </c>
      <c r="G52">
        <f t="shared" si="24"/>
        <v>96.339113680154142</v>
      </c>
      <c r="H52">
        <f t="shared" si="10"/>
        <v>10.568992873032784</v>
      </c>
      <c r="L52">
        <v>2.7E-2</v>
      </c>
      <c r="M52" s="29">
        <f t="shared" si="1"/>
        <v>37.037037037037038</v>
      </c>
      <c r="N52">
        <f t="shared" si="2"/>
        <v>2.6290165530671863</v>
      </c>
      <c r="O52">
        <f t="shared" si="3"/>
        <v>97.370983446932811</v>
      </c>
      <c r="AB52">
        <v>11.007808000000001</v>
      </c>
      <c r="AC52">
        <v>15.683038627034794</v>
      </c>
      <c r="AD52">
        <v>11.007808000000001</v>
      </c>
      <c r="AE52">
        <v>94.945899999999995</v>
      </c>
      <c r="AF52">
        <f t="shared" si="17"/>
        <v>2.1060000000000012</v>
      </c>
      <c r="AG52">
        <f t="shared" si="18"/>
        <v>94.945899999999995</v>
      </c>
      <c r="AK52">
        <v>840</v>
      </c>
      <c r="AL52">
        <f t="shared" si="21"/>
        <v>43.47</v>
      </c>
      <c r="AM52" s="32">
        <v>5.4700591476328289E-2</v>
      </c>
      <c r="AN52" s="32"/>
      <c r="AR52" s="32">
        <v>0.11692283291839649</v>
      </c>
    </row>
    <row r="53" spans="3:44" x14ac:dyDescent="0.25">
      <c r="AB53">
        <v>10.943808000000001</v>
      </c>
      <c r="AC53">
        <v>100</v>
      </c>
      <c r="AD53">
        <v>10.943808000000001</v>
      </c>
      <c r="AE53">
        <v>100</v>
      </c>
      <c r="AF53">
        <f t="shared" si="17"/>
        <v>2.0955000000000013</v>
      </c>
      <c r="AG53">
        <f t="shared" si="18"/>
        <v>100</v>
      </c>
      <c r="AK53">
        <v>870</v>
      </c>
      <c r="AL53">
        <f t="shared" si="21"/>
        <v>45.089999999999996</v>
      </c>
      <c r="AM53" s="32">
        <v>7.0389803893864414E-2</v>
      </c>
      <c r="AN53" s="32"/>
      <c r="AR53" s="32">
        <v>0.11295490640605715</v>
      </c>
    </row>
    <row r="54" spans="3:44" x14ac:dyDescent="0.25">
      <c r="AB54">
        <v>10.879808000000001</v>
      </c>
      <c r="AC54">
        <v>100</v>
      </c>
      <c r="AD54">
        <v>10.879808000000001</v>
      </c>
      <c r="AE54">
        <v>100</v>
      </c>
      <c r="AF54">
        <f t="shared" si="17"/>
        <v>2.0850000000000013</v>
      </c>
      <c r="AG54">
        <f t="shared" si="18"/>
        <v>100</v>
      </c>
      <c r="AK54">
        <v>900</v>
      </c>
      <c r="AL54">
        <f t="shared" si="21"/>
        <v>46.71</v>
      </c>
      <c r="AM54" s="32">
        <v>5.6216253897437202E-2</v>
      </c>
      <c r="AN54" s="32"/>
      <c r="AR54" s="32">
        <v>0.10489212941376651</v>
      </c>
    </row>
    <row r="55" spans="3:44" x14ac:dyDescent="0.25">
      <c r="AB55">
        <v>10.815808000000001</v>
      </c>
      <c r="AC55">
        <v>100</v>
      </c>
      <c r="AD55">
        <v>10.815808000000001</v>
      </c>
      <c r="AE55">
        <v>100</v>
      </c>
      <c r="AF55">
        <f t="shared" si="17"/>
        <v>2.0745000000000013</v>
      </c>
      <c r="AG55">
        <f t="shared" si="18"/>
        <v>100</v>
      </c>
      <c r="AK55">
        <v>930</v>
      </c>
      <c r="AL55">
        <f t="shared" si="21"/>
        <v>48.33</v>
      </c>
      <c r="AM55" s="32">
        <v>5.1760699294374025E-2</v>
      </c>
      <c r="AN55" s="32"/>
      <c r="AR55" s="32">
        <v>0.11893244892912569</v>
      </c>
    </row>
    <row r="56" spans="3:44" x14ac:dyDescent="0.25">
      <c r="AB56">
        <v>10.751808</v>
      </c>
      <c r="AC56">
        <v>16.766929593717894</v>
      </c>
      <c r="AD56">
        <v>10.751808</v>
      </c>
      <c r="AE56">
        <v>95.315299999999993</v>
      </c>
      <c r="AF56">
        <f t="shared" si="17"/>
        <v>2.0640000000000014</v>
      </c>
      <c r="AG56">
        <f t="shared" si="18"/>
        <v>95.315299999999993</v>
      </c>
      <c r="AK56">
        <v>960</v>
      </c>
      <c r="AL56">
        <f t="shared" si="21"/>
        <v>49.95</v>
      </c>
      <c r="AM56" s="32">
        <v>5.6106514699949518E-2</v>
      </c>
      <c r="AN56" s="32"/>
      <c r="AR56" s="32">
        <v>9.2926793548231981E-2</v>
      </c>
    </row>
    <row r="57" spans="3:44" x14ac:dyDescent="0.25">
      <c r="AB57">
        <v>10.687808</v>
      </c>
      <c r="AC57">
        <v>16.562278297884177</v>
      </c>
      <c r="AD57">
        <v>10.687808</v>
      </c>
      <c r="AE57">
        <v>95.248999999999995</v>
      </c>
      <c r="AF57">
        <f t="shared" si="17"/>
        <v>2.0535000000000014</v>
      </c>
      <c r="AG57">
        <f t="shared" si="18"/>
        <v>95.248999999999995</v>
      </c>
      <c r="AK57">
        <v>990</v>
      </c>
      <c r="AL57">
        <f t="shared" si="21"/>
        <v>51.57</v>
      </c>
      <c r="AM57" s="32">
        <v>7.2353752380625566E-2</v>
      </c>
      <c r="AN57" s="32"/>
      <c r="AR57" s="32">
        <v>0.11787549996981737</v>
      </c>
    </row>
    <row r="58" spans="3:44" x14ac:dyDescent="0.25">
      <c r="AB58">
        <v>10.623808</v>
      </c>
      <c r="AC58">
        <v>100</v>
      </c>
      <c r="AD58">
        <v>10.623808</v>
      </c>
      <c r="AE58">
        <v>100</v>
      </c>
      <c r="AF58">
        <f t="shared" si="17"/>
        <v>2.0430000000000015</v>
      </c>
      <c r="AG58">
        <f t="shared" si="18"/>
        <v>100</v>
      </c>
      <c r="AK58">
        <v>1020</v>
      </c>
      <c r="AL58">
        <f t="shared" si="21"/>
        <v>53.19</v>
      </c>
      <c r="AM58" s="32">
        <v>6.2822261027047771E-2</v>
      </c>
      <c r="AN58" s="32"/>
      <c r="AR58" s="32">
        <v>0.11534570697860655</v>
      </c>
    </row>
    <row r="59" spans="3:44" x14ac:dyDescent="0.25">
      <c r="AB59">
        <v>10.559808</v>
      </c>
      <c r="AC59">
        <v>16.435652965009591</v>
      </c>
      <c r="AD59">
        <v>10.559808</v>
      </c>
      <c r="AE59">
        <v>95.207300000000004</v>
      </c>
      <c r="AF59">
        <f t="shared" si="17"/>
        <v>2.0325000000000015</v>
      </c>
      <c r="AG59">
        <f t="shared" si="18"/>
        <v>95.207300000000004</v>
      </c>
      <c r="AK59">
        <v>1050</v>
      </c>
      <c r="AL59">
        <f t="shared" si="21"/>
        <v>54.81</v>
      </c>
      <c r="AM59" s="32">
        <v>5.5636780900584402E-2</v>
      </c>
      <c r="AN59" s="32"/>
      <c r="AR59" s="32">
        <v>0.11942595836854859</v>
      </c>
    </row>
    <row r="60" spans="3:44" x14ac:dyDescent="0.25">
      <c r="AB60">
        <v>10.495808</v>
      </c>
      <c r="AC60">
        <v>17.09620373821059</v>
      </c>
      <c r="AD60">
        <v>10.495808</v>
      </c>
      <c r="AE60">
        <v>95.418700000000001</v>
      </c>
      <c r="AF60">
        <f t="shared" si="17"/>
        <v>2.0220000000000016</v>
      </c>
      <c r="AG60">
        <f t="shared" si="18"/>
        <v>95.418700000000001</v>
      </c>
      <c r="AK60">
        <v>1080</v>
      </c>
      <c r="AL60">
        <f t="shared" si="21"/>
        <v>56.43</v>
      </c>
      <c r="AM60" s="32">
        <v>7.7393914450647847E-2</v>
      </c>
      <c r="AN60" s="32"/>
      <c r="AR60" s="32">
        <v>0.13106050495065183</v>
      </c>
    </row>
    <row r="61" spans="3:44" x14ac:dyDescent="0.25">
      <c r="AB61">
        <v>10.431808</v>
      </c>
      <c r="AC61">
        <v>100</v>
      </c>
      <c r="AD61">
        <v>10.431808</v>
      </c>
      <c r="AE61">
        <v>100</v>
      </c>
      <c r="AF61">
        <f t="shared" si="17"/>
        <v>2.0115000000000016</v>
      </c>
      <c r="AG61">
        <f t="shared" si="18"/>
        <v>100</v>
      </c>
      <c r="AK61">
        <v>1110</v>
      </c>
      <c r="AL61">
        <f t="shared" si="21"/>
        <v>58.05</v>
      </c>
      <c r="AM61" s="32">
        <v>6.3155807594333799E-2</v>
      </c>
      <c r="AN61" s="32"/>
      <c r="AR61" s="32">
        <v>0.12084377119095253</v>
      </c>
    </row>
    <row r="62" spans="3:44" x14ac:dyDescent="0.25">
      <c r="AB62">
        <v>10.367808</v>
      </c>
      <c r="AC62">
        <v>15.961311428058032</v>
      </c>
      <c r="AD62">
        <v>10.367808</v>
      </c>
      <c r="AE62">
        <v>95.045299999999997</v>
      </c>
      <c r="AF62">
        <f t="shared" si="17"/>
        <v>2.0010000000000017</v>
      </c>
      <c r="AG62">
        <f t="shared" si="18"/>
        <v>95.045299999999997</v>
      </c>
      <c r="AK62">
        <v>1140</v>
      </c>
      <c r="AL62">
        <f t="shared" si="21"/>
        <v>59.67</v>
      </c>
      <c r="AM62" s="32">
        <v>6.4359808926146206E-2</v>
      </c>
      <c r="AN62" s="32"/>
      <c r="AR62" s="32">
        <v>0.11074591023396749</v>
      </c>
    </row>
    <row r="63" spans="3:44" x14ac:dyDescent="0.25">
      <c r="AB63">
        <v>10.303808</v>
      </c>
      <c r="AC63">
        <v>14.245994906931493</v>
      </c>
      <c r="AD63">
        <v>10.303808</v>
      </c>
      <c r="AE63">
        <v>94.375299999999996</v>
      </c>
      <c r="AF63">
        <f t="shared" si="17"/>
        <v>1.9905000000000017</v>
      </c>
      <c r="AG63">
        <f t="shared" si="18"/>
        <v>94.375299999999996</v>
      </c>
      <c r="AK63">
        <v>1170</v>
      </c>
      <c r="AL63">
        <f t="shared" si="21"/>
        <v>61.29</v>
      </c>
      <c r="AM63" s="32">
        <v>6.6791516871312906E-2</v>
      </c>
      <c r="AN63" s="32"/>
      <c r="AR63" s="32">
        <v>0.10488103195867747</v>
      </c>
    </row>
    <row r="64" spans="3:44" x14ac:dyDescent="0.25">
      <c r="AB64">
        <v>10.239808</v>
      </c>
      <c r="AC64">
        <v>17.757959133642128</v>
      </c>
      <c r="AD64">
        <v>10.239808</v>
      </c>
      <c r="AE64">
        <v>95.615600000000001</v>
      </c>
      <c r="AF64">
        <f t="shared" si="17"/>
        <v>1.9800000000000018</v>
      </c>
      <c r="AG64">
        <f t="shared" si="18"/>
        <v>95.615600000000001</v>
      </c>
    </row>
    <row r="65" spans="28:33" x14ac:dyDescent="0.25">
      <c r="AB65">
        <v>10.175808</v>
      </c>
      <c r="AC65">
        <v>14.160697452401395</v>
      </c>
      <c r="AD65">
        <v>10.175808</v>
      </c>
      <c r="AE65">
        <v>94.337999999999994</v>
      </c>
      <c r="AF65">
        <f t="shared" si="17"/>
        <v>1.9695000000000018</v>
      </c>
      <c r="AG65">
        <f t="shared" si="18"/>
        <v>94.337999999999994</v>
      </c>
    </row>
    <row r="66" spans="28:33" x14ac:dyDescent="0.25">
      <c r="AB66">
        <v>10.111712000000001</v>
      </c>
      <c r="AC66">
        <v>100</v>
      </c>
      <c r="AD66">
        <v>10.111712000000001</v>
      </c>
      <c r="AE66">
        <v>100</v>
      </c>
      <c r="AF66">
        <f t="shared" si="17"/>
        <v>1.9590000000000019</v>
      </c>
      <c r="AG66">
        <f t="shared" si="18"/>
        <v>100</v>
      </c>
    </row>
    <row r="67" spans="28:33" x14ac:dyDescent="0.25">
      <c r="AB67">
        <v>10.047712000000001</v>
      </c>
      <c r="AC67">
        <v>14.880549938836285</v>
      </c>
      <c r="AD67">
        <v>10.047712000000001</v>
      </c>
      <c r="AE67">
        <v>94.64</v>
      </c>
      <c r="AF67">
        <f t="shared" si="17"/>
        <v>1.9485000000000019</v>
      </c>
      <c r="AG67">
        <f t="shared" si="18"/>
        <v>94.64</v>
      </c>
    </row>
    <row r="68" spans="28:33" x14ac:dyDescent="0.25">
      <c r="AB68">
        <v>9.9837120000000006</v>
      </c>
      <c r="AC68">
        <v>14.25983730894982</v>
      </c>
      <c r="AD68">
        <v>9.9837120000000006</v>
      </c>
      <c r="AE68">
        <v>94.381299999999996</v>
      </c>
      <c r="AF68">
        <f t="shared" si="17"/>
        <v>1.9380000000000019</v>
      </c>
      <c r="AG68">
        <f t="shared" si="18"/>
        <v>94.381299999999996</v>
      </c>
    </row>
    <row r="69" spans="28:33" x14ac:dyDescent="0.25">
      <c r="AB69">
        <v>9.9197120000000005</v>
      </c>
      <c r="AC69">
        <v>16.175856879267389</v>
      </c>
      <c r="AD69">
        <v>9.9197120000000005</v>
      </c>
      <c r="AE69">
        <v>95.119699999999995</v>
      </c>
      <c r="AF69">
        <f t="shared" si="17"/>
        <v>1.927500000000002</v>
      </c>
      <c r="AG69">
        <f t="shared" si="18"/>
        <v>95.119699999999995</v>
      </c>
    </row>
    <row r="70" spans="28:33" x14ac:dyDescent="0.25">
      <c r="AB70">
        <v>9.8557120000000005</v>
      </c>
      <c r="AC70">
        <v>13.366589855196155</v>
      </c>
      <c r="AD70">
        <v>9.8557120000000005</v>
      </c>
      <c r="AE70">
        <v>93.969800000000006</v>
      </c>
      <c r="AF70">
        <f t="shared" si="17"/>
        <v>1.917000000000002</v>
      </c>
      <c r="AG70">
        <f t="shared" si="18"/>
        <v>93.969800000000006</v>
      </c>
    </row>
    <row r="71" spans="28:33" x14ac:dyDescent="0.25">
      <c r="AB71">
        <v>9.7917120000000004</v>
      </c>
      <c r="AC71">
        <v>14.419869343311975</v>
      </c>
      <c r="AD71">
        <v>9.7917120000000004</v>
      </c>
      <c r="AE71">
        <v>94.45</v>
      </c>
      <c r="AF71">
        <f t="shared" si="17"/>
        <v>1.9065000000000021</v>
      </c>
      <c r="AG71">
        <f t="shared" si="18"/>
        <v>94.45</v>
      </c>
    </row>
    <row r="72" spans="28:33" x14ac:dyDescent="0.25">
      <c r="AB72">
        <v>9.7277120000000004</v>
      </c>
      <c r="AC72">
        <v>14.221474042101708</v>
      </c>
      <c r="AD72">
        <v>9.7277120000000004</v>
      </c>
      <c r="AE72">
        <v>94.364599999999996</v>
      </c>
      <c r="AF72">
        <f t="shared" si="17"/>
        <v>1.8960000000000021</v>
      </c>
      <c r="AG72">
        <f t="shared" si="18"/>
        <v>94.364599999999996</v>
      </c>
    </row>
    <row r="73" spans="28:33" x14ac:dyDescent="0.25">
      <c r="AB73">
        <v>9.6637120000000003</v>
      </c>
      <c r="AC73">
        <v>18.579894733781149</v>
      </c>
      <c r="AD73">
        <v>9.6637120000000003</v>
      </c>
      <c r="AE73">
        <v>95.8416</v>
      </c>
      <c r="AF73">
        <f t="shared" si="17"/>
        <v>1.8855000000000022</v>
      </c>
      <c r="AG73">
        <f t="shared" si="18"/>
        <v>95.8416</v>
      </c>
    </row>
    <row r="74" spans="28:33" x14ac:dyDescent="0.25">
      <c r="AB74">
        <v>9.5997120000000002</v>
      </c>
      <c r="AC74">
        <v>12.937360540162363</v>
      </c>
      <c r="AD74">
        <v>9.5997120000000002</v>
      </c>
      <c r="AE74">
        <v>93.753299999999996</v>
      </c>
      <c r="AF74">
        <f t="shared" si="17"/>
        <v>1.8750000000000022</v>
      </c>
      <c r="AG74">
        <f t="shared" si="18"/>
        <v>93.753299999999996</v>
      </c>
    </row>
    <row r="75" spans="28:33" x14ac:dyDescent="0.25">
      <c r="AB75">
        <v>9.5357120000000002</v>
      </c>
      <c r="AC75">
        <v>15.376961992476327</v>
      </c>
      <c r="AD75">
        <v>9.5357120000000002</v>
      </c>
      <c r="AE75">
        <v>94.832800000000006</v>
      </c>
      <c r="AF75">
        <f t="shared" si="17"/>
        <v>1.8645000000000023</v>
      </c>
      <c r="AG75">
        <f t="shared" si="18"/>
        <v>94.832800000000006</v>
      </c>
    </row>
    <row r="76" spans="28:33" x14ac:dyDescent="0.25">
      <c r="AB76">
        <v>9.4717120000000001</v>
      </c>
      <c r="AC76">
        <v>13.203147192417488</v>
      </c>
      <c r="AD76">
        <v>9.4717120000000001</v>
      </c>
      <c r="AE76">
        <v>93.888900000000007</v>
      </c>
      <c r="AF76">
        <f t="shared" si="17"/>
        <v>1.8540000000000023</v>
      </c>
      <c r="AG76">
        <f t="shared" si="18"/>
        <v>93.888900000000007</v>
      </c>
    </row>
    <row r="77" spans="28:33" x14ac:dyDescent="0.25">
      <c r="AB77">
        <v>9.4077120000000001</v>
      </c>
      <c r="AC77">
        <v>9.2676428040619196</v>
      </c>
      <c r="AD77">
        <v>9.4077120000000001</v>
      </c>
      <c r="AE77">
        <v>91.163300000000007</v>
      </c>
      <c r="AF77">
        <f t="shared" si="17"/>
        <v>1.8435000000000024</v>
      </c>
      <c r="AG77">
        <f t="shared" si="18"/>
        <v>91.163300000000007</v>
      </c>
    </row>
    <row r="78" spans="28:33" x14ac:dyDescent="0.25">
      <c r="AB78">
        <v>9.343712</v>
      </c>
      <c r="AC78">
        <v>10.3568525104826</v>
      </c>
      <c r="AD78">
        <v>9.343712</v>
      </c>
      <c r="AE78">
        <v>92.106700000000004</v>
      </c>
      <c r="AF78">
        <f t="shared" si="17"/>
        <v>1.8330000000000024</v>
      </c>
      <c r="AG78">
        <f t="shared" si="18"/>
        <v>92.106700000000004</v>
      </c>
    </row>
    <row r="79" spans="28:33" x14ac:dyDescent="0.25">
      <c r="AB79">
        <v>9.279712</v>
      </c>
      <c r="AC79">
        <v>12.325752608087015</v>
      </c>
      <c r="AD79">
        <v>9.279712</v>
      </c>
      <c r="AE79">
        <v>93.420699999999997</v>
      </c>
      <c r="AF79">
        <f t="shared" si="17"/>
        <v>1.8225000000000025</v>
      </c>
      <c r="AG79">
        <f t="shared" si="18"/>
        <v>93.420699999999997</v>
      </c>
    </row>
    <row r="80" spans="28:33" x14ac:dyDescent="0.25">
      <c r="AB80">
        <v>9.2157119999999999</v>
      </c>
      <c r="AC80">
        <v>8.0195483081649233</v>
      </c>
      <c r="AD80">
        <v>9.2157119999999999</v>
      </c>
      <c r="AE80">
        <v>89.802099999999996</v>
      </c>
      <c r="AF80">
        <f t="shared" si="17"/>
        <v>1.8120000000000025</v>
      </c>
      <c r="AG80">
        <f t="shared" si="18"/>
        <v>89.802099999999996</v>
      </c>
    </row>
    <row r="81" spans="28:33" x14ac:dyDescent="0.25">
      <c r="AB81">
        <v>9.1517119999999998</v>
      </c>
      <c r="AC81">
        <v>12.612610669861811</v>
      </c>
      <c r="AD81">
        <v>9.1517119999999998</v>
      </c>
      <c r="AE81">
        <v>93.580399999999997</v>
      </c>
      <c r="AF81">
        <f t="shared" si="17"/>
        <v>1.8015000000000025</v>
      </c>
      <c r="AG81">
        <f t="shared" si="18"/>
        <v>93.580399999999997</v>
      </c>
    </row>
    <row r="82" spans="28:33" x14ac:dyDescent="0.25">
      <c r="AB82">
        <v>9.0877119999999998</v>
      </c>
      <c r="AC82">
        <v>9.7217132654079439</v>
      </c>
      <c r="AD82">
        <v>9.0877119999999998</v>
      </c>
      <c r="AE82">
        <v>91.579899999999995</v>
      </c>
      <c r="AF82">
        <f t="shared" si="17"/>
        <v>1.7910000000000026</v>
      </c>
      <c r="AG82">
        <f t="shared" si="18"/>
        <v>91.579899999999995</v>
      </c>
    </row>
    <row r="83" spans="28:33" x14ac:dyDescent="0.25">
      <c r="AB83">
        <v>9.0237119999999997</v>
      </c>
      <c r="AC83">
        <v>13.018504433180285</v>
      </c>
      <c r="AD83">
        <v>9.0237119999999997</v>
      </c>
      <c r="AE83">
        <v>93.795199999999994</v>
      </c>
      <c r="AF83">
        <f t="shared" si="17"/>
        <v>1.7805000000000026</v>
      </c>
      <c r="AG83">
        <f t="shared" si="18"/>
        <v>93.795199999999994</v>
      </c>
    </row>
    <row r="84" spans="28:33" x14ac:dyDescent="0.25">
      <c r="AB84">
        <v>8.9597120000000015</v>
      </c>
      <c r="AC84">
        <v>11.027584860003621</v>
      </c>
      <c r="AD84">
        <v>8.9597120000000015</v>
      </c>
      <c r="AE84">
        <v>92.602599999999995</v>
      </c>
      <c r="AF84">
        <f t="shared" si="17"/>
        <v>1.7700000000000027</v>
      </c>
      <c r="AG84">
        <f t="shared" si="18"/>
        <v>92.602599999999995</v>
      </c>
    </row>
    <row r="85" spans="28:33" x14ac:dyDescent="0.25">
      <c r="AB85">
        <v>8.8957120000000014</v>
      </c>
      <c r="AC85">
        <v>9.8760347042525307</v>
      </c>
      <c r="AD85">
        <v>8.8957120000000014</v>
      </c>
      <c r="AE85">
        <v>91.713499999999996</v>
      </c>
      <c r="AF85">
        <f t="shared" si="17"/>
        <v>1.7595000000000027</v>
      </c>
      <c r="AG85">
        <f t="shared" si="18"/>
        <v>91.713499999999996</v>
      </c>
    </row>
    <row r="86" spans="28:33" x14ac:dyDescent="0.25">
      <c r="AB86">
        <v>8.8317120000000013</v>
      </c>
      <c r="AC86">
        <v>10.121199108101413</v>
      </c>
      <c r="AD86">
        <v>8.8317120000000013</v>
      </c>
      <c r="AE86">
        <v>91.918199999999999</v>
      </c>
      <c r="AF86">
        <f t="shared" si="17"/>
        <v>1.7490000000000028</v>
      </c>
      <c r="AG86">
        <f t="shared" si="18"/>
        <v>91.918199999999999</v>
      </c>
    </row>
    <row r="87" spans="28:33" x14ac:dyDescent="0.25">
      <c r="AB87">
        <v>8.7677119999999995</v>
      </c>
      <c r="AC87">
        <v>12.20897111290137</v>
      </c>
      <c r="AD87">
        <v>8.7677119999999995</v>
      </c>
      <c r="AE87">
        <v>93.353700000000003</v>
      </c>
      <c r="AF87">
        <f t="shared" si="17"/>
        <v>1.7385000000000028</v>
      </c>
      <c r="AG87">
        <f t="shared" si="18"/>
        <v>93.353700000000003</v>
      </c>
    </row>
    <row r="88" spans="28:33" x14ac:dyDescent="0.25">
      <c r="AB88">
        <v>8.7037119999999994</v>
      </c>
      <c r="AC88">
        <v>10.589818177645434</v>
      </c>
      <c r="AD88">
        <v>8.7037119999999994</v>
      </c>
      <c r="AE88">
        <v>92.285499999999999</v>
      </c>
      <c r="AF88">
        <f t="shared" si="17"/>
        <v>1.7280000000000029</v>
      </c>
      <c r="AG88">
        <f t="shared" si="18"/>
        <v>92.285499999999999</v>
      </c>
    </row>
    <row r="89" spans="28:33" x14ac:dyDescent="0.25">
      <c r="AB89">
        <v>8.6397120000000012</v>
      </c>
      <c r="AC89">
        <v>13.213122228617344</v>
      </c>
      <c r="AD89">
        <v>8.6397120000000012</v>
      </c>
      <c r="AE89">
        <v>93.893900000000002</v>
      </c>
      <c r="AF89">
        <f t="shared" si="17"/>
        <v>1.7175000000000029</v>
      </c>
      <c r="AG89">
        <f t="shared" si="18"/>
        <v>93.893900000000002</v>
      </c>
    </row>
    <row r="90" spans="28:33" x14ac:dyDescent="0.25">
      <c r="AB90">
        <v>8.5757120000000011</v>
      </c>
      <c r="AC90">
        <v>9.2992723208640768</v>
      </c>
      <c r="AD90">
        <v>8.5757120000000011</v>
      </c>
      <c r="AE90">
        <v>91.1935</v>
      </c>
      <c r="AF90">
        <f t="shared" ref="AF90:AF153" si="25">AF89-AF$19</f>
        <v>1.707000000000003</v>
      </c>
      <c r="AG90">
        <f t="shared" ref="AG90:AG153" si="26">AE90</f>
        <v>91.1935</v>
      </c>
    </row>
    <row r="91" spans="28:33" x14ac:dyDescent="0.25">
      <c r="AB91">
        <v>8.5117120000000011</v>
      </c>
      <c r="AC91">
        <v>10.366821938189254</v>
      </c>
      <c r="AD91">
        <v>8.5117120000000011</v>
      </c>
      <c r="AE91">
        <v>92.114500000000007</v>
      </c>
      <c r="AF91">
        <f t="shared" si="25"/>
        <v>1.696500000000003</v>
      </c>
      <c r="AG91">
        <f t="shared" si="26"/>
        <v>92.114500000000007</v>
      </c>
    </row>
    <row r="92" spans="28:33" x14ac:dyDescent="0.25">
      <c r="AB92">
        <v>8.447712000000001</v>
      </c>
      <c r="AC92">
        <v>9.5378475663832223</v>
      </c>
      <c r="AD92">
        <v>8.447712000000001</v>
      </c>
      <c r="AE92">
        <v>91.415499999999994</v>
      </c>
      <c r="AF92">
        <f t="shared" si="25"/>
        <v>1.6860000000000031</v>
      </c>
      <c r="AG92">
        <f t="shared" si="26"/>
        <v>91.415499999999994</v>
      </c>
    </row>
    <row r="93" spans="28:33" x14ac:dyDescent="0.25">
      <c r="AB93">
        <v>8.3837120000000009</v>
      </c>
      <c r="AC93">
        <v>9.5479723872881266</v>
      </c>
      <c r="AD93">
        <v>8.3837120000000009</v>
      </c>
      <c r="AE93">
        <v>91.424700000000001</v>
      </c>
      <c r="AF93">
        <f t="shared" si="25"/>
        <v>1.6755000000000031</v>
      </c>
      <c r="AG93">
        <f t="shared" si="26"/>
        <v>91.424700000000001</v>
      </c>
    </row>
    <row r="94" spans="28:33" x14ac:dyDescent="0.25">
      <c r="AB94">
        <v>8.3197120000000009</v>
      </c>
      <c r="AC94">
        <v>9.8779515855954418</v>
      </c>
      <c r="AD94">
        <v>8.3197120000000009</v>
      </c>
      <c r="AE94">
        <v>91.715199999999996</v>
      </c>
      <c r="AF94">
        <f t="shared" si="25"/>
        <v>1.6650000000000031</v>
      </c>
      <c r="AG94">
        <f t="shared" si="26"/>
        <v>91.715199999999996</v>
      </c>
    </row>
    <row r="95" spans="28:33" x14ac:dyDescent="0.25">
      <c r="AB95">
        <v>8.2557120000000008</v>
      </c>
      <c r="AC95">
        <v>9.4484657823056768</v>
      </c>
      <c r="AD95">
        <v>8.2557120000000008</v>
      </c>
      <c r="AE95">
        <v>91.333500000000001</v>
      </c>
      <c r="AF95">
        <f t="shared" si="25"/>
        <v>1.6545000000000032</v>
      </c>
      <c r="AG95">
        <f t="shared" si="26"/>
        <v>91.333500000000001</v>
      </c>
    </row>
    <row r="96" spans="28:33" x14ac:dyDescent="0.25">
      <c r="AB96">
        <v>8.1917120000000008</v>
      </c>
      <c r="AC96">
        <v>9.006719362106443</v>
      </c>
      <c r="AD96">
        <v>8.1917120000000008</v>
      </c>
      <c r="AE96">
        <v>90.906800000000004</v>
      </c>
      <c r="AF96">
        <f t="shared" si="25"/>
        <v>1.6440000000000032</v>
      </c>
      <c r="AG96">
        <f t="shared" si="26"/>
        <v>90.906800000000004</v>
      </c>
    </row>
    <row r="97" spans="28:33" x14ac:dyDescent="0.25">
      <c r="AB97">
        <v>8.1276159999999997</v>
      </c>
      <c r="AC97">
        <v>8.9450021416228083</v>
      </c>
      <c r="AD97">
        <v>8.1276159999999997</v>
      </c>
      <c r="AE97">
        <v>90.844099999999997</v>
      </c>
      <c r="AF97">
        <f t="shared" si="25"/>
        <v>1.6335000000000033</v>
      </c>
      <c r="AG97">
        <f t="shared" si="26"/>
        <v>90.844099999999997</v>
      </c>
    </row>
    <row r="98" spans="28:33" x14ac:dyDescent="0.25">
      <c r="AB98">
        <v>8.0636159999999997</v>
      </c>
      <c r="AC98">
        <v>9.3438512942622314</v>
      </c>
      <c r="AD98">
        <v>8.0636159999999997</v>
      </c>
      <c r="AE98">
        <v>91.235699999999994</v>
      </c>
      <c r="AF98">
        <f t="shared" si="25"/>
        <v>1.6230000000000033</v>
      </c>
      <c r="AG98">
        <f t="shared" si="26"/>
        <v>91.235699999999994</v>
      </c>
    </row>
    <row r="99" spans="28:33" x14ac:dyDescent="0.25">
      <c r="AB99">
        <v>7.9996160000000005</v>
      </c>
      <c r="AC99">
        <v>8.3660899256091188</v>
      </c>
      <c r="AD99">
        <v>7.9996160000000005</v>
      </c>
      <c r="AE99">
        <v>90.216399999999993</v>
      </c>
      <c r="AF99">
        <f t="shared" si="25"/>
        <v>1.6125000000000034</v>
      </c>
      <c r="AG99">
        <f t="shared" si="26"/>
        <v>90.216399999999993</v>
      </c>
    </row>
    <row r="100" spans="28:33" x14ac:dyDescent="0.25">
      <c r="AB100">
        <v>7.9356160000000004</v>
      </c>
      <c r="AC100">
        <v>8.6620123195428054</v>
      </c>
      <c r="AD100">
        <v>7.9356160000000004</v>
      </c>
      <c r="AE100">
        <v>90.546700000000001</v>
      </c>
      <c r="AF100">
        <f t="shared" si="25"/>
        <v>1.6020000000000034</v>
      </c>
      <c r="AG100">
        <f t="shared" si="26"/>
        <v>90.546700000000001</v>
      </c>
    </row>
    <row r="101" spans="28:33" x14ac:dyDescent="0.25">
      <c r="AB101">
        <v>7.8715200000000003</v>
      </c>
      <c r="AC101">
        <v>8.4519885677707727</v>
      </c>
      <c r="AD101">
        <v>7.8715200000000003</v>
      </c>
      <c r="AE101">
        <v>90.314400000000006</v>
      </c>
      <c r="AF101">
        <f t="shared" si="25"/>
        <v>1.5915000000000035</v>
      </c>
      <c r="AG101">
        <f t="shared" si="26"/>
        <v>90.314400000000006</v>
      </c>
    </row>
    <row r="102" spans="28:33" x14ac:dyDescent="0.25">
      <c r="AB102">
        <v>7.8075200000000002</v>
      </c>
      <c r="AC102">
        <v>9.0440546157900492</v>
      </c>
      <c r="AD102">
        <v>7.8075200000000002</v>
      </c>
      <c r="AE102">
        <v>90.944299999999998</v>
      </c>
      <c r="AF102">
        <f t="shared" si="25"/>
        <v>1.5810000000000035</v>
      </c>
      <c r="AG102">
        <f t="shared" si="26"/>
        <v>90.944299999999998</v>
      </c>
    </row>
    <row r="103" spans="28:33" x14ac:dyDescent="0.25">
      <c r="AB103">
        <v>7.7435200000000002</v>
      </c>
      <c r="AC103">
        <v>8.5155385887988011</v>
      </c>
      <c r="AD103">
        <v>7.7435200000000002</v>
      </c>
      <c r="AE103">
        <v>90.385800000000003</v>
      </c>
      <c r="AF103">
        <f t="shared" si="25"/>
        <v>1.5705000000000036</v>
      </c>
      <c r="AG103">
        <f t="shared" si="26"/>
        <v>90.385800000000003</v>
      </c>
    </row>
    <row r="104" spans="28:33" x14ac:dyDescent="0.25">
      <c r="AB104">
        <v>7.679424</v>
      </c>
      <c r="AC104">
        <v>7.8208066234650921</v>
      </c>
      <c r="AD104">
        <v>7.679424</v>
      </c>
      <c r="AE104">
        <v>89.549800000000005</v>
      </c>
      <c r="AF104">
        <f t="shared" si="25"/>
        <v>1.5600000000000036</v>
      </c>
      <c r="AG104">
        <f t="shared" si="26"/>
        <v>89.549800000000005</v>
      </c>
    </row>
    <row r="105" spans="28:33" x14ac:dyDescent="0.25">
      <c r="AB105">
        <v>7.615424</v>
      </c>
      <c r="AC105">
        <v>7.7697210186769006</v>
      </c>
      <c r="AD105">
        <v>7.615424</v>
      </c>
      <c r="AE105">
        <v>89.483099999999993</v>
      </c>
      <c r="AF105">
        <f t="shared" si="25"/>
        <v>1.5495000000000037</v>
      </c>
      <c r="AG105">
        <f t="shared" si="26"/>
        <v>89.483099999999993</v>
      </c>
    </row>
    <row r="106" spans="28:33" x14ac:dyDescent="0.25">
      <c r="AB106">
        <v>7.5514239999999999</v>
      </c>
      <c r="AC106">
        <v>8.0799575669309736</v>
      </c>
      <c r="AD106">
        <v>7.5514239999999999</v>
      </c>
      <c r="AE106">
        <v>89.876599999999996</v>
      </c>
      <c r="AF106">
        <f t="shared" si="25"/>
        <v>1.5390000000000037</v>
      </c>
      <c r="AG106">
        <f t="shared" si="26"/>
        <v>89.876599999999996</v>
      </c>
    </row>
    <row r="107" spans="28:33" x14ac:dyDescent="0.25">
      <c r="AB107">
        <v>7.4874239999999999</v>
      </c>
      <c r="AC107">
        <v>8.228855421356478</v>
      </c>
      <c r="AD107">
        <v>7.4874239999999999</v>
      </c>
      <c r="AE107">
        <v>90.056100000000001</v>
      </c>
      <c r="AF107">
        <f t="shared" si="25"/>
        <v>1.5285000000000037</v>
      </c>
      <c r="AG107">
        <f t="shared" si="26"/>
        <v>90.056100000000001</v>
      </c>
    </row>
    <row r="108" spans="28:33" x14ac:dyDescent="0.25">
      <c r="AB108">
        <v>7.4234240000000007</v>
      </c>
      <c r="AC108">
        <v>7.096387087465029</v>
      </c>
      <c r="AD108">
        <v>7.4234240000000007</v>
      </c>
      <c r="AE108">
        <v>88.525300000000001</v>
      </c>
      <c r="AF108">
        <f t="shared" si="25"/>
        <v>1.5180000000000038</v>
      </c>
      <c r="AG108">
        <f t="shared" si="26"/>
        <v>88.525300000000001</v>
      </c>
    </row>
    <row r="109" spans="28:33" x14ac:dyDescent="0.25">
      <c r="AB109">
        <v>7.3594240000000006</v>
      </c>
      <c r="AC109">
        <v>7.3645970500302278</v>
      </c>
      <c r="AD109">
        <v>7.3594240000000006</v>
      </c>
      <c r="AE109">
        <v>88.925299999999993</v>
      </c>
      <c r="AF109">
        <f t="shared" si="25"/>
        <v>1.5075000000000038</v>
      </c>
      <c r="AG109">
        <f t="shared" si="26"/>
        <v>88.925299999999993</v>
      </c>
    </row>
    <row r="110" spans="28:33" x14ac:dyDescent="0.25">
      <c r="AB110">
        <v>7.2954240000000006</v>
      </c>
      <c r="AC110">
        <v>7.3469004900704933</v>
      </c>
      <c r="AD110">
        <v>7.2954240000000006</v>
      </c>
      <c r="AE110">
        <v>88.899699999999996</v>
      </c>
      <c r="AF110">
        <f t="shared" si="25"/>
        <v>1.4970000000000039</v>
      </c>
      <c r="AG110">
        <f t="shared" si="26"/>
        <v>88.899699999999996</v>
      </c>
    </row>
    <row r="111" spans="28:33" x14ac:dyDescent="0.25">
      <c r="AB111">
        <v>7.2314240000000005</v>
      </c>
      <c r="AC111">
        <v>7.4525194366102889</v>
      </c>
      <c r="AD111">
        <v>7.2314240000000005</v>
      </c>
      <c r="AE111">
        <v>89.050899999999999</v>
      </c>
      <c r="AF111">
        <f t="shared" si="25"/>
        <v>1.4865000000000039</v>
      </c>
      <c r="AG111">
        <f t="shared" si="26"/>
        <v>89.050899999999999</v>
      </c>
    </row>
    <row r="112" spans="28:33" x14ac:dyDescent="0.25">
      <c r="AB112">
        <v>7.1674240000000005</v>
      </c>
      <c r="AC112">
        <v>6.8500866618478016</v>
      </c>
      <c r="AD112">
        <v>7.1674240000000005</v>
      </c>
      <c r="AE112">
        <v>88.133899999999997</v>
      </c>
      <c r="AF112">
        <f t="shared" si="25"/>
        <v>1.476000000000004</v>
      </c>
      <c r="AG112">
        <f t="shared" si="26"/>
        <v>88.133899999999997</v>
      </c>
    </row>
    <row r="113" spans="28:33" x14ac:dyDescent="0.25">
      <c r="AB113">
        <v>7.1034240000000004</v>
      </c>
      <c r="AC113">
        <v>6.3207503406685799</v>
      </c>
      <c r="AD113">
        <v>7.1034240000000004</v>
      </c>
      <c r="AE113">
        <v>87.203599999999994</v>
      </c>
      <c r="AF113">
        <f t="shared" si="25"/>
        <v>1.465500000000004</v>
      </c>
      <c r="AG113">
        <f t="shared" si="26"/>
        <v>87.203599999999994</v>
      </c>
    </row>
    <row r="114" spans="28:33" x14ac:dyDescent="0.25">
      <c r="AB114">
        <v>7.0394240000000003</v>
      </c>
      <c r="AC114">
        <v>6.2802762180046274</v>
      </c>
      <c r="AD114">
        <v>7.0394240000000003</v>
      </c>
      <c r="AE114">
        <v>87.126900000000006</v>
      </c>
      <c r="AF114">
        <f t="shared" si="25"/>
        <v>1.4550000000000041</v>
      </c>
      <c r="AG114">
        <f t="shared" si="26"/>
        <v>87.126900000000006</v>
      </c>
    </row>
    <row r="115" spans="28:33" x14ac:dyDescent="0.25">
      <c r="AB115">
        <v>6.9754240000000003</v>
      </c>
      <c r="AC115">
        <v>6.2799613657495836</v>
      </c>
      <c r="AD115">
        <v>6.9754240000000003</v>
      </c>
      <c r="AE115">
        <v>87.126300000000001</v>
      </c>
      <c r="AF115">
        <f t="shared" si="25"/>
        <v>1.4445000000000041</v>
      </c>
      <c r="AG115">
        <f t="shared" si="26"/>
        <v>87.126300000000001</v>
      </c>
    </row>
    <row r="116" spans="28:33" x14ac:dyDescent="0.25">
      <c r="AB116">
        <v>6.9114240000000002</v>
      </c>
      <c r="AC116">
        <v>6.5279316076233345</v>
      </c>
      <c r="AD116">
        <v>6.9114240000000002</v>
      </c>
      <c r="AE116">
        <v>87.583299999999994</v>
      </c>
      <c r="AF116">
        <f t="shared" si="25"/>
        <v>1.4340000000000042</v>
      </c>
      <c r="AG116">
        <f t="shared" si="26"/>
        <v>87.583299999999994</v>
      </c>
    </row>
    <row r="117" spans="28:33" x14ac:dyDescent="0.25">
      <c r="AB117">
        <v>6.8474240000000002</v>
      </c>
      <c r="AC117">
        <v>5.8329116321863959</v>
      </c>
      <c r="AD117">
        <v>6.8474240000000002</v>
      </c>
      <c r="AE117">
        <v>86.218599999999995</v>
      </c>
      <c r="AF117">
        <f t="shared" si="25"/>
        <v>1.4235000000000042</v>
      </c>
      <c r="AG117">
        <f t="shared" si="26"/>
        <v>86.218599999999995</v>
      </c>
    </row>
    <row r="118" spans="28:33" x14ac:dyDescent="0.25">
      <c r="AB118">
        <v>6.7834240000000001</v>
      </c>
      <c r="AC118">
        <v>5.6154460841144136</v>
      </c>
      <c r="AD118">
        <v>6.7834240000000001</v>
      </c>
      <c r="AE118">
        <v>85.732699999999994</v>
      </c>
      <c r="AF118">
        <f t="shared" si="25"/>
        <v>1.4130000000000043</v>
      </c>
      <c r="AG118">
        <f t="shared" si="26"/>
        <v>85.732699999999994</v>
      </c>
    </row>
    <row r="119" spans="28:33" x14ac:dyDescent="0.25">
      <c r="AB119">
        <v>6.7194240000000001</v>
      </c>
      <c r="AC119">
        <v>5.4128205616614915</v>
      </c>
      <c r="AD119">
        <v>6.7194240000000001</v>
      </c>
      <c r="AE119">
        <v>85.250299999999996</v>
      </c>
      <c r="AF119">
        <f t="shared" si="25"/>
        <v>1.4025000000000043</v>
      </c>
      <c r="AG119">
        <f t="shared" si="26"/>
        <v>85.250299999999996</v>
      </c>
    </row>
    <row r="120" spans="28:33" x14ac:dyDescent="0.25">
      <c r="AB120">
        <v>6.655424</v>
      </c>
      <c r="AC120">
        <v>5.3921623229497611</v>
      </c>
      <c r="AD120">
        <v>6.655424</v>
      </c>
      <c r="AE120">
        <v>85.199399999999997</v>
      </c>
      <c r="AF120">
        <f t="shared" si="25"/>
        <v>1.3920000000000043</v>
      </c>
      <c r="AG120">
        <f t="shared" si="26"/>
        <v>85.199399999999997</v>
      </c>
    </row>
    <row r="121" spans="28:33" x14ac:dyDescent="0.25">
      <c r="AB121">
        <v>6.5914239999999999</v>
      </c>
      <c r="AC121">
        <v>5.5700457951706914</v>
      </c>
      <c r="AD121">
        <v>6.5914239999999999</v>
      </c>
      <c r="AE121">
        <v>85.627200000000002</v>
      </c>
      <c r="AF121">
        <f t="shared" si="25"/>
        <v>1.3815000000000044</v>
      </c>
      <c r="AG121">
        <f t="shared" si="26"/>
        <v>85.627200000000002</v>
      </c>
    </row>
    <row r="122" spans="28:33" x14ac:dyDescent="0.25">
      <c r="AB122">
        <v>6.5274239999999999</v>
      </c>
      <c r="AC122">
        <v>5.4037128854115819</v>
      </c>
      <c r="AD122">
        <v>6.5274239999999999</v>
      </c>
      <c r="AE122">
        <v>85.227900000000005</v>
      </c>
      <c r="AF122">
        <f t="shared" si="25"/>
        <v>1.3710000000000044</v>
      </c>
      <c r="AG122">
        <f t="shared" si="26"/>
        <v>85.227900000000005</v>
      </c>
    </row>
    <row r="123" spans="28:33" x14ac:dyDescent="0.25">
      <c r="AB123">
        <v>6.4634239999999998</v>
      </c>
      <c r="AC123">
        <v>5.3520414580765259</v>
      </c>
      <c r="AD123">
        <v>6.4634239999999998</v>
      </c>
      <c r="AE123">
        <v>85.099599999999995</v>
      </c>
      <c r="AF123">
        <f t="shared" si="25"/>
        <v>1.3605000000000045</v>
      </c>
      <c r="AG123">
        <f t="shared" si="26"/>
        <v>85.099599999999995</v>
      </c>
    </row>
    <row r="124" spans="28:33" x14ac:dyDescent="0.25">
      <c r="AB124">
        <v>6.3994239999999998</v>
      </c>
      <c r="AC124">
        <v>5.0242760430646269</v>
      </c>
      <c r="AD124">
        <v>6.3994239999999998</v>
      </c>
      <c r="AE124">
        <v>84.234499999999997</v>
      </c>
      <c r="AF124">
        <f t="shared" si="25"/>
        <v>1.3500000000000045</v>
      </c>
      <c r="AG124">
        <f t="shared" si="26"/>
        <v>84.234499999999997</v>
      </c>
    </row>
    <row r="125" spans="28:33" x14ac:dyDescent="0.25">
      <c r="AB125">
        <v>6.3354240000000006</v>
      </c>
      <c r="AC125">
        <v>4.8766371671117783</v>
      </c>
      <c r="AD125">
        <v>6.3354240000000006</v>
      </c>
      <c r="AE125">
        <v>83.813299999999998</v>
      </c>
      <c r="AF125">
        <f t="shared" si="25"/>
        <v>1.3395000000000046</v>
      </c>
      <c r="AG125">
        <f t="shared" si="26"/>
        <v>83.813299999999998</v>
      </c>
    </row>
    <row r="126" spans="28:33" x14ac:dyDescent="0.25">
      <c r="AB126">
        <v>6.2714240000000006</v>
      </c>
      <c r="AC126">
        <v>4.5309431627137764</v>
      </c>
      <c r="AD126">
        <v>6.2714240000000006</v>
      </c>
      <c r="AE126">
        <v>82.739099999999993</v>
      </c>
      <c r="AF126">
        <f t="shared" si="25"/>
        <v>1.3290000000000046</v>
      </c>
      <c r="AG126">
        <f t="shared" si="26"/>
        <v>82.739099999999993</v>
      </c>
    </row>
    <row r="127" spans="28:33" x14ac:dyDescent="0.25">
      <c r="AB127">
        <v>6.2072960000000013</v>
      </c>
      <c r="AC127">
        <v>4.7661237375899885</v>
      </c>
      <c r="AD127">
        <v>6.2072960000000013</v>
      </c>
      <c r="AE127">
        <v>83.483900000000006</v>
      </c>
      <c r="AF127">
        <f t="shared" si="25"/>
        <v>1.3185000000000047</v>
      </c>
      <c r="AG127">
        <f t="shared" si="26"/>
        <v>83.483900000000006</v>
      </c>
    </row>
    <row r="128" spans="28:33" x14ac:dyDescent="0.25">
      <c r="AB128">
        <v>6.1432960000000012</v>
      </c>
      <c r="AC128">
        <v>4.6584852067027844</v>
      </c>
      <c r="AD128">
        <v>6.1432960000000012</v>
      </c>
      <c r="AE128">
        <v>83.150700000000001</v>
      </c>
      <c r="AF128">
        <f t="shared" si="25"/>
        <v>1.3080000000000047</v>
      </c>
      <c r="AG128">
        <f t="shared" si="26"/>
        <v>83.150700000000001</v>
      </c>
    </row>
    <row r="129" spans="28:33" x14ac:dyDescent="0.25">
      <c r="AB129">
        <v>6.0792960000000011</v>
      </c>
      <c r="AC129">
        <v>4.5740437203706463</v>
      </c>
      <c r="AD129">
        <v>6.0792960000000011</v>
      </c>
      <c r="AE129">
        <v>82.880300000000005</v>
      </c>
      <c r="AF129">
        <f t="shared" si="25"/>
        <v>1.2975000000000048</v>
      </c>
      <c r="AG129">
        <f t="shared" si="26"/>
        <v>82.880300000000005</v>
      </c>
    </row>
    <row r="130" spans="28:33" x14ac:dyDescent="0.25">
      <c r="AB130">
        <v>6.0152960000000011</v>
      </c>
      <c r="AC130">
        <v>4.5218111540585308</v>
      </c>
      <c r="AD130">
        <v>6.0152960000000011</v>
      </c>
      <c r="AE130">
        <v>82.7089</v>
      </c>
      <c r="AF130">
        <f t="shared" si="25"/>
        <v>1.2870000000000048</v>
      </c>
      <c r="AG130">
        <f t="shared" si="26"/>
        <v>82.7089</v>
      </c>
    </row>
    <row r="131" spans="28:33" x14ac:dyDescent="0.25">
      <c r="AB131">
        <v>5.951296000000001</v>
      </c>
      <c r="AC131">
        <v>4.4353968108750985</v>
      </c>
      <c r="AD131">
        <v>5.951296000000001</v>
      </c>
      <c r="AE131">
        <v>82.418099999999995</v>
      </c>
      <c r="AF131">
        <f t="shared" si="25"/>
        <v>1.2765000000000049</v>
      </c>
      <c r="AG131">
        <f t="shared" si="26"/>
        <v>82.418099999999995</v>
      </c>
    </row>
    <row r="132" spans="28:33" x14ac:dyDescent="0.25">
      <c r="AB132">
        <v>5.887296000000001</v>
      </c>
      <c r="AC132">
        <v>4.3018929332591416</v>
      </c>
      <c r="AD132">
        <v>5.887296000000001</v>
      </c>
      <c r="AE132">
        <v>81.950199999999995</v>
      </c>
      <c r="AF132">
        <f t="shared" si="25"/>
        <v>1.2660000000000049</v>
      </c>
      <c r="AG132">
        <f t="shared" si="26"/>
        <v>81.950199999999995</v>
      </c>
    </row>
    <row r="133" spans="28:33" x14ac:dyDescent="0.25">
      <c r="AB133">
        <v>5.8232960000000009</v>
      </c>
      <c r="AC133">
        <v>4.1488318269176849</v>
      </c>
      <c r="AD133">
        <v>5.8232960000000009</v>
      </c>
      <c r="AE133">
        <v>81.383899999999997</v>
      </c>
      <c r="AF133">
        <f t="shared" si="25"/>
        <v>1.2555000000000049</v>
      </c>
      <c r="AG133">
        <f t="shared" si="26"/>
        <v>81.383899999999997</v>
      </c>
    </row>
    <row r="134" spans="28:33" x14ac:dyDescent="0.25">
      <c r="AB134">
        <v>5.7592960000000009</v>
      </c>
      <c r="AC134">
        <v>4.1126038339466771</v>
      </c>
      <c r="AD134">
        <v>5.7592960000000009</v>
      </c>
      <c r="AE134">
        <v>81.244900000000001</v>
      </c>
      <c r="AF134">
        <f t="shared" si="25"/>
        <v>1.245000000000005</v>
      </c>
      <c r="AG134">
        <f t="shared" si="26"/>
        <v>81.244900000000001</v>
      </c>
    </row>
    <row r="135" spans="28:33" x14ac:dyDescent="0.25">
      <c r="AB135">
        <v>5.6952960000000008</v>
      </c>
      <c r="AC135">
        <v>3.8980146067524712</v>
      </c>
      <c r="AD135">
        <v>5.6952960000000008</v>
      </c>
      <c r="AE135">
        <v>80.379400000000004</v>
      </c>
      <c r="AF135">
        <f t="shared" si="25"/>
        <v>1.234500000000005</v>
      </c>
      <c r="AG135">
        <f t="shared" si="26"/>
        <v>80.379400000000004</v>
      </c>
    </row>
    <row r="136" spans="28:33" x14ac:dyDescent="0.25">
      <c r="AB136">
        <v>5.6312960000000007</v>
      </c>
      <c r="AC136">
        <v>3.9191266358531274</v>
      </c>
      <c r="AD136">
        <v>5.6312960000000007</v>
      </c>
      <c r="AE136">
        <v>80.4679</v>
      </c>
      <c r="AF136">
        <f t="shared" si="25"/>
        <v>1.2240000000000051</v>
      </c>
      <c r="AG136">
        <f t="shared" si="26"/>
        <v>80.4679</v>
      </c>
    </row>
    <row r="137" spans="28:33" x14ac:dyDescent="0.25">
      <c r="AB137">
        <v>5.5672960000000007</v>
      </c>
      <c r="AC137">
        <v>4.0375321080326199</v>
      </c>
      <c r="AD137">
        <v>5.5672960000000007</v>
      </c>
      <c r="AE137">
        <v>80.950500000000005</v>
      </c>
      <c r="AF137">
        <f t="shared" si="25"/>
        <v>1.2135000000000051</v>
      </c>
      <c r="AG137">
        <f t="shared" si="26"/>
        <v>80.950500000000005</v>
      </c>
    </row>
    <row r="138" spans="28:33" x14ac:dyDescent="0.25">
      <c r="AB138">
        <v>5.5032960000000006</v>
      </c>
      <c r="AC138">
        <v>3.8138333365107808</v>
      </c>
      <c r="AD138">
        <v>5.5032960000000006</v>
      </c>
      <c r="AE138">
        <v>80.018799999999999</v>
      </c>
      <c r="AF138">
        <f t="shared" si="25"/>
        <v>1.2030000000000052</v>
      </c>
      <c r="AG138">
        <f t="shared" si="26"/>
        <v>80.018799999999999</v>
      </c>
    </row>
    <row r="139" spans="28:33" x14ac:dyDescent="0.25">
      <c r="AB139">
        <v>5.4392960000000006</v>
      </c>
      <c r="AC139">
        <v>3.8417560713703609</v>
      </c>
      <c r="AD139">
        <v>5.4392960000000006</v>
      </c>
      <c r="AE139">
        <v>80.139799999999994</v>
      </c>
      <c r="AF139">
        <f t="shared" si="25"/>
        <v>1.1925000000000052</v>
      </c>
      <c r="AG139">
        <f t="shared" si="26"/>
        <v>80.139799999999994</v>
      </c>
    </row>
    <row r="140" spans="28:33" x14ac:dyDescent="0.25">
      <c r="AB140">
        <v>5.3752320000000013</v>
      </c>
      <c r="AC140">
        <v>3.9015325782061363</v>
      </c>
      <c r="AD140">
        <v>5.3752320000000013</v>
      </c>
      <c r="AE140">
        <v>80.394199999999998</v>
      </c>
      <c r="AF140">
        <f t="shared" si="25"/>
        <v>1.1820000000000053</v>
      </c>
      <c r="AG140">
        <f t="shared" si="26"/>
        <v>80.394199999999998</v>
      </c>
    </row>
    <row r="141" spans="28:33" x14ac:dyDescent="0.25">
      <c r="AB141">
        <v>5.3112320000000013</v>
      </c>
      <c r="AC141">
        <v>3.4902060159869119</v>
      </c>
      <c r="AD141">
        <v>5.3112320000000013</v>
      </c>
      <c r="AE141">
        <v>78.506600000000006</v>
      </c>
      <c r="AF141">
        <f t="shared" si="25"/>
        <v>1.1715000000000053</v>
      </c>
      <c r="AG141">
        <f t="shared" si="26"/>
        <v>78.506600000000006</v>
      </c>
    </row>
    <row r="142" spans="28:33" x14ac:dyDescent="0.25">
      <c r="AB142">
        <v>5.2472320000000012</v>
      </c>
      <c r="AC142">
        <v>3.540652325398431</v>
      </c>
      <c r="AD142">
        <v>5.2472320000000012</v>
      </c>
      <c r="AE142">
        <v>78.756500000000003</v>
      </c>
      <c r="AF142">
        <f t="shared" si="25"/>
        <v>1.1610000000000054</v>
      </c>
      <c r="AG142">
        <f t="shared" si="26"/>
        <v>78.756500000000003</v>
      </c>
    </row>
    <row r="143" spans="28:33" x14ac:dyDescent="0.25">
      <c r="AB143">
        <v>5.1832320000000012</v>
      </c>
      <c r="AC143">
        <v>3.2987686794267743</v>
      </c>
      <c r="AD143">
        <v>5.1832320000000012</v>
      </c>
      <c r="AE143">
        <v>77.504900000000006</v>
      </c>
      <c r="AF143">
        <f t="shared" si="25"/>
        <v>1.1505000000000054</v>
      </c>
      <c r="AG143">
        <f t="shared" si="26"/>
        <v>77.504900000000006</v>
      </c>
    </row>
    <row r="144" spans="28:33" x14ac:dyDescent="0.25">
      <c r="AB144">
        <v>5.1192320000000011</v>
      </c>
      <c r="AC144">
        <v>3.3814555976348819</v>
      </c>
      <c r="AD144">
        <v>5.1192320000000011</v>
      </c>
      <c r="AE144">
        <v>77.948300000000003</v>
      </c>
      <c r="AF144">
        <f t="shared" si="25"/>
        <v>1.1400000000000055</v>
      </c>
      <c r="AG144">
        <f t="shared" si="26"/>
        <v>77.948300000000003</v>
      </c>
    </row>
    <row r="145" spans="28:33" x14ac:dyDescent="0.25">
      <c r="AB145">
        <v>5.0552320000000011</v>
      </c>
      <c r="AC145">
        <v>3.2463380589610344</v>
      </c>
      <c r="AD145">
        <v>5.0552320000000011</v>
      </c>
      <c r="AE145">
        <v>77.214799999999997</v>
      </c>
      <c r="AF145">
        <f t="shared" si="25"/>
        <v>1.1295000000000055</v>
      </c>
      <c r="AG145">
        <f t="shared" si="26"/>
        <v>77.214799999999997</v>
      </c>
    </row>
    <row r="146" spans="28:33" x14ac:dyDescent="0.25">
      <c r="AB146">
        <v>4.991232000000001</v>
      </c>
      <c r="AC146">
        <v>3.1859559106940813</v>
      </c>
      <c r="AD146">
        <v>4.991232000000001</v>
      </c>
      <c r="AE146">
        <v>76.871700000000004</v>
      </c>
      <c r="AF146">
        <f t="shared" si="25"/>
        <v>1.1190000000000055</v>
      </c>
      <c r="AG146">
        <f t="shared" si="26"/>
        <v>76.871700000000004</v>
      </c>
    </row>
    <row r="147" spans="28:33" x14ac:dyDescent="0.25">
      <c r="AB147">
        <v>4.9272320000000009</v>
      </c>
      <c r="AC147">
        <v>3.3442915578801578</v>
      </c>
      <c r="AD147">
        <v>4.9272320000000009</v>
      </c>
      <c r="AE147">
        <v>77.751099999999994</v>
      </c>
      <c r="AF147">
        <f t="shared" si="25"/>
        <v>1.1085000000000056</v>
      </c>
      <c r="AG147">
        <f t="shared" si="26"/>
        <v>77.751099999999994</v>
      </c>
    </row>
    <row r="148" spans="28:33" x14ac:dyDescent="0.25">
      <c r="AB148">
        <v>4.8632320000000009</v>
      </c>
      <c r="AC148">
        <v>3.1157126499077026</v>
      </c>
      <c r="AD148">
        <v>4.8632320000000009</v>
      </c>
      <c r="AE148">
        <v>76.459900000000005</v>
      </c>
      <c r="AF148">
        <f t="shared" si="25"/>
        <v>1.0980000000000056</v>
      </c>
      <c r="AG148">
        <f t="shared" si="26"/>
        <v>76.459900000000005</v>
      </c>
    </row>
    <row r="149" spans="28:33" x14ac:dyDescent="0.25">
      <c r="AB149">
        <v>4.7992320000000017</v>
      </c>
      <c r="AC149">
        <v>2.9572925849740428</v>
      </c>
      <c r="AD149">
        <v>4.7992320000000017</v>
      </c>
      <c r="AE149">
        <v>75.477500000000006</v>
      </c>
      <c r="AF149">
        <f t="shared" si="25"/>
        <v>1.0875000000000057</v>
      </c>
      <c r="AG149">
        <f t="shared" si="26"/>
        <v>75.477500000000006</v>
      </c>
    </row>
    <row r="150" spans="28:33" x14ac:dyDescent="0.25">
      <c r="AB150">
        <v>4.7352320000000017</v>
      </c>
      <c r="AC150">
        <v>2.9750320757538784</v>
      </c>
      <c r="AD150">
        <v>4.7352320000000017</v>
      </c>
      <c r="AE150">
        <v>75.591399999999993</v>
      </c>
      <c r="AF150">
        <f t="shared" si="25"/>
        <v>1.0770000000000057</v>
      </c>
      <c r="AG150">
        <f t="shared" si="26"/>
        <v>75.591399999999993</v>
      </c>
    </row>
    <row r="151" spans="28:33" x14ac:dyDescent="0.25">
      <c r="AB151">
        <v>4.6712320000000016</v>
      </c>
      <c r="AC151">
        <v>3.0226703361916862</v>
      </c>
      <c r="AD151">
        <v>4.6712320000000016</v>
      </c>
      <c r="AE151">
        <v>75.892300000000006</v>
      </c>
      <c r="AF151">
        <f t="shared" si="25"/>
        <v>1.0665000000000058</v>
      </c>
      <c r="AG151">
        <f t="shared" si="26"/>
        <v>75.892300000000006</v>
      </c>
    </row>
    <row r="152" spans="28:33" x14ac:dyDescent="0.25">
      <c r="AB152">
        <v>4.6072320000000015</v>
      </c>
      <c r="AC152">
        <v>2.8623474659558927</v>
      </c>
      <c r="AD152">
        <v>4.6072320000000015</v>
      </c>
      <c r="AE152">
        <v>74.850099999999998</v>
      </c>
      <c r="AF152">
        <f t="shared" si="25"/>
        <v>1.0560000000000058</v>
      </c>
      <c r="AG152">
        <f t="shared" si="26"/>
        <v>74.850099999999998</v>
      </c>
    </row>
    <row r="153" spans="28:33" x14ac:dyDescent="0.25">
      <c r="AB153">
        <v>4.5432320000000015</v>
      </c>
      <c r="AC153">
        <v>2.7879640255931353</v>
      </c>
      <c r="AD153">
        <v>4.5432320000000015</v>
      </c>
      <c r="AE153">
        <v>74.336600000000004</v>
      </c>
      <c r="AF153">
        <f t="shared" si="25"/>
        <v>1.0455000000000059</v>
      </c>
      <c r="AG153">
        <f t="shared" si="26"/>
        <v>74.336600000000004</v>
      </c>
    </row>
    <row r="154" spans="28:33" x14ac:dyDescent="0.25">
      <c r="AB154">
        <v>4.4792320000000014</v>
      </c>
      <c r="AC154">
        <v>2.6953292501774486</v>
      </c>
      <c r="AD154">
        <v>4.4792320000000014</v>
      </c>
      <c r="AE154">
        <v>73.668199999999999</v>
      </c>
      <c r="AF154">
        <f t="shared" ref="AF154:AF217" si="27">AF153-AF$19</f>
        <v>1.0350000000000059</v>
      </c>
      <c r="AG154">
        <f t="shared" ref="AG154:AG217" si="28">AE154</f>
        <v>73.668199999999999</v>
      </c>
    </row>
    <row r="155" spans="28:33" x14ac:dyDescent="0.25">
      <c r="AB155">
        <v>4.4152320000000014</v>
      </c>
      <c r="AC155">
        <v>2.8258155426597371</v>
      </c>
      <c r="AD155">
        <v>4.4152320000000014</v>
      </c>
      <c r="AE155">
        <v>74.600399999999993</v>
      </c>
      <c r="AF155">
        <f t="shared" si="27"/>
        <v>1.024500000000006</v>
      </c>
      <c r="AG155">
        <f t="shared" si="28"/>
        <v>74.600399999999993</v>
      </c>
    </row>
    <row r="156" spans="28:33" x14ac:dyDescent="0.25">
      <c r="AB156">
        <v>4.3512320000000013</v>
      </c>
      <c r="AC156">
        <v>2.6593407389694428</v>
      </c>
      <c r="AD156">
        <v>4.3512320000000013</v>
      </c>
      <c r="AE156">
        <v>73.3994</v>
      </c>
      <c r="AF156">
        <f t="shared" si="27"/>
        <v>1.014000000000006</v>
      </c>
      <c r="AG156">
        <f t="shared" si="28"/>
        <v>73.3994</v>
      </c>
    </row>
    <row r="157" spans="28:33" x14ac:dyDescent="0.25">
      <c r="AB157">
        <v>4.2871039999999994</v>
      </c>
      <c r="AC157">
        <v>2.6167660382088056</v>
      </c>
      <c r="AD157">
        <v>4.2871039999999994</v>
      </c>
      <c r="AE157">
        <v>73.0745</v>
      </c>
      <c r="AF157">
        <f t="shared" si="27"/>
        <v>1.0035000000000061</v>
      </c>
      <c r="AG157">
        <f t="shared" si="28"/>
        <v>73.0745</v>
      </c>
    </row>
    <row r="158" spans="28:33" x14ac:dyDescent="0.25">
      <c r="AB158">
        <v>4.2231039999999993</v>
      </c>
      <c r="AC158">
        <v>2.5077848512317189</v>
      </c>
      <c r="AD158">
        <v>4.2231039999999993</v>
      </c>
      <c r="AE158">
        <v>72.206900000000005</v>
      </c>
      <c r="AF158">
        <f t="shared" si="27"/>
        <v>0.9930000000000061</v>
      </c>
      <c r="AG158">
        <f t="shared" si="28"/>
        <v>72.206900000000005</v>
      </c>
    </row>
    <row r="159" spans="28:33" x14ac:dyDescent="0.25">
      <c r="AB159">
        <v>4.1591039999999992</v>
      </c>
      <c r="AC159">
        <v>2.5693208041927149</v>
      </c>
      <c r="AD159">
        <v>4.1591039999999992</v>
      </c>
      <c r="AE159">
        <v>72.703299999999999</v>
      </c>
      <c r="AF159">
        <f t="shared" si="27"/>
        <v>0.98250000000000615</v>
      </c>
      <c r="AG159">
        <f t="shared" si="28"/>
        <v>72.703299999999999</v>
      </c>
    </row>
    <row r="160" spans="28:33" x14ac:dyDescent="0.25">
      <c r="AB160">
        <v>4.0951039999999992</v>
      </c>
      <c r="AC160">
        <v>2.4577909850938395</v>
      </c>
      <c r="AD160">
        <v>4.0951039999999992</v>
      </c>
      <c r="AE160">
        <v>71.790599999999998</v>
      </c>
      <c r="AF160">
        <f t="shared" si="27"/>
        <v>0.97200000000000619</v>
      </c>
      <c r="AG160">
        <f t="shared" si="28"/>
        <v>71.790599999999998</v>
      </c>
    </row>
    <row r="161" spans="28:33" x14ac:dyDescent="0.25">
      <c r="AB161">
        <v>4.0311039999999991</v>
      </c>
      <c r="AC161">
        <v>2.3794974921451781</v>
      </c>
      <c r="AD161">
        <v>4.0311039999999991</v>
      </c>
      <c r="AE161">
        <v>71.113900000000001</v>
      </c>
      <c r="AF161">
        <f t="shared" si="27"/>
        <v>0.96150000000000624</v>
      </c>
      <c r="AG161">
        <f t="shared" si="28"/>
        <v>71.113900000000001</v>
      </c>
    </row>
    <row r="162" spans="28:33" x14ac:dyDescent="0.25">
      <c r="AB162">
        <v>3.9671039999999991</v>
      </c>
      <c r="AC162">
        <v>2.265343071168314</v>
      </c>
      <c r="AD162">
        <v>3.9671039999999991</v>
      </c>
      <c r="AE162">
        <v>70.069100000000006</v>
      </c>
      <c r="AF162">
        <f t="shared" si="27"/>
        <v>0.95100000000000628</v>
      </c>
      <c r="AG162">
        <f t="shared" si="28"/>
        <v>70.069100000000006</v>
      </c>
    </row>
    <row r="163" spans="28:33" x14ac:dyDescent="0.25">
      <c r="AB163">
        <v>3.903103999999999</v>
      </c>
      <c r="AC163">
        <v>2.3319367789738292</v>
      </c>
      <c r="AD163">
        <v>3.903103999999999</v>
      </c>
      <c r="AE163">
        <v>70.687299999999993</v>
      </c>
      <c r="AF163">
        <f t="shared" si="27"/>
        <v>0.94050000000000633</v>
      </c>
      <c r="AG163">
        <f t="shared" si="28"/>
        <v>70.687299999999993</v>
      </c>
    </row>
    <row r="164" spans="28:33" x14ac:dyDescent="0.25">
      <c r="AB164">
        <v>3.839103999999999</v>
      </c>
      <c r="AC164">
        <v>2.3378057727516079</v>
      </c>
      <c r="AD164">
        <v>3.839103999999999</v>
      </c>
      <c r="AE164">
        <v>70.740600000000001</v>
      </c>
      <c r="AF164">
        <f t="shared" si="27"/>
        <v>0.93000000000000638</v>
      </c>
      <c r="AG164">
        <f t="shared" si="28"/>
        <v>70.740600000000001</v>
      </c>
    </row>
    <row r="165" spans="28:33" x14ac:dyDescent="0.25">
      <c r="AB165">
        <v>3.7751039999999989</v>
      </c>
      <c r="AC165">
        <v>2.1654099049123401</v>
      </c>
      <c r="AD165">
        <v>3.7751039999999989</v>
      </c>
      <c r="AE165">
        <v>69.092600000000004</v>
      </c>
      <c r="AF165">
        <f t="shared" si="27"/>
        <v>0.91950000000000642</v>
      </c>
      <c r="AG165">
        <f t="shared" si="28"/>
        <v>69.092600000000004</v>
      </c>
    </row>
    <row r="166" spans="28:33" x14ac:dyDescent="0.25">
      <c r="AB166">
        <v>3.7111039999999988</v>
      </c>
      <c r="AC166">
        <v>2.2509334363332045</v>
      </c>
      <c r="AD166">
        <v>3.7111039999999988</v>
      </c>
      <c r="AE166">
        <v>69.932000000000002</v>
      </c>
      <c r="AF166">
        <f t="shared" si="27"/>
        <v>0.90900000000000647</v>
      </c>
      <c r="AG166">
        <f t="shared" si="28"/>
        <v>69.932000000000002</v>
      </c>
    </row>
    <row r="167" spans="28:33" x14ac:dyDescent="0.25">
      <c r="AB167">
        <v>3.6471039999999988</v>
      </c>
      <c r="AC167">
        <v>2.095766462734328</v>
      </c>
      <c r="AD167">
        <v>3.6471039999999988</v>
      </c>
      <c r="AE167">
        <v>68.374799999999993</v>
      </c>
      <c r="AF167">
        <f t="shared" si="27"/>
        <v>0.89850000000000652</v>
      </c>
      <c r="AG167">
        <f t="shared" si="28"/>
        <v>68.374799999999993</v>
      </c>
    </row>
    <row r="168" spans="28:33" x14ac:dyDescent="0.25">
      <c r="AB168">
        <v>3.5831040000000005</v>
      </c>
      <c r="AC168">
        <v>2.2000506938723783</v>
      </c>
      <c r="AD168">
        <v>3.5831040000000005</v>
      </c>
      <c r="AE168">
        <v>69.438000000000002</v>
      </c>
      <c r="AF168">
        <f t="shared" si="27"/>
        <v>0.88800000000000656</v>
      </c>
      <c r="AG168">
        <f t="shared" si="28"/>
        <v>69.438000000000002</v>
      </c>
    </row>
    <row r="169" spans="28:33" x14ac:dyDescent="0.25">
      <c r="AB169">
        <v>3.5191040000000005</v>
      </c>
      <c r="AC169">
        <v>2.0406483505235333</v>
      </c>
      <c r="AD169">
        <v>3.5191040000000005</v>
      </c>
      <c r="AE169">
        <v>67.7834</v>
      </c>
      <c r="AF169">
        <f t="shared" si="27"/>
        <v>0.87750000000000661</v>
      </c>
      <c r="AG169">
        <f t="shared" si="28"/>
        <v>67.7834</v>
      </c>
    </row>
    <row r="170" spans="28:33" x14ac:dyDescent="0.25">
      <c r="AB170">
        <v>3.4551040000000004</v>
      </c>
      <c r="AC170">
        <v>2.1319383287232849</v>
      </c>
      <c r="AD170">
        <v>3.4551040000000004</v>
      </c>
      <c r="AE170">
        <v>68.751599999999996</v>
      </c>
      <c r="AF170">
        <f t="shared" si="27"/>
        <v>0.86700000000000665</v>
      </c>
      <c r="AG170">
        <f t="shared" si="28"/>
        <v>68.751599999999996</v>
      </c>
    </row>
    <row r="171" spans="28:33" x14ac:dyDescent="0.25">
      <c r="AB171">
        <v>3.3911040000000003</v>
      </c>
      <c r="AC171">
        <v>1.9964280204587797</v>
      </c>
      <c r="AD171">
        <v>3.3911040000000003</v>
      </c>
      <c r="AE171">
        <v>67.293199999999999</v>
      </c>
      <c r="AF171">
        <f t="shared" si="27"/>
        <v>0.8565000000000067</v>
      </c>
      <c r="AG171">
        <f t="shared" si="28"/>
        <v>67.293199999999999</v>
      </c>
    </row>
    <row r="172" spans="28:33" x14ac:dyDescent="0.25">
      <c r="AB172">
        <v>3.3271040000000003</v>
      </c>
      <c r="AC172">
        <v>2.0008438016234265</v>
      </c>
      <c r="AD172">
        <v>3.3271040000000003</v>
      </c>
      <c r="AE172">
        <v>67.342799999999997</v>
      </c>
      <c r="AF172">
        <f t="shared" si="27"/>
        <v>0.84600000000000675</v>
      </c>
      <c r="AG172">
        <f t="shared" si="28"/>
        <v>67.342799999999997</v>
      </c>
    </row>
    <row r="173" spans="28:33" x14ac:dyDescent="0.25">
      <c r="AB173">
        <v>3.2630400000000002</v>
      </c>
      <c r="AC173">
        <v>1.9716195620833112</v>
      </c>
      <c r="AD173">
        <v>3.2630400000000002</v>
      </c>
      <c r="AE173">
        <v>67.011799999999994</v>
      </c>
      <c r="AF173">
        <f t="shared" si="27"/>
        <v>0.83550000000000679</v>
      </c>
      <c r="AG173">
        <f t="shared" si="28"/>
        <v>67.011799999999994</v>
      </c>
    </row>
    <row r="174" spans="28:33" x14ac:dyDescent="0.25">
      <c r="AB174">
        <v>3.1990400000000001</v>
      </c>
      <c r="AC174">
        <v>1.9053795547577748</v>
      </c>
      <c r="AD174">
        <v>3.1990400000000001</v>
      </c>
      <c r="AE174">
        <v>66.236900000000006</v>
      </c>
      <c r="AF174">
        <f t="shared" si="27"/>
        <v>0.82500000000000684</v>
      </c>
      <c r="AG174">
        <f t="shared" si="28"/>
        <v>66.236900000000006</v>
      </c>
    </row>
    <row r="175" spans="28:33" x14ac:dyDescent="0.25">
      <c r="AB175">
        <v>3.13504</v>
      </c>
      <c r="AC175">
        <v>1.8821651052560988</v>
      </c>
      <c r="AD175">
        <v>3.13504</v>
      </c>
      <c r="AE175">
        <v>65.956900000000005</v>
      </c>
      <c r="AF175">
        <f t="shared" si="27"/>
        <v>0.81450000000000689</v>
      </c>
      <c r="AG175">
        <f t="shared" si="28"/>
        <v>65.956900000000005</v>
      </c>
    </row>
    <row r="176" spans="28:33" x14ac:dyDescent="0.25">
      <c r="AB176">
        <v>3.07104</v>
      </c>
      <c r="AC176">
        <v>1.8516090415770248</v>
      </c>
      <c r="AD176">
        <v>3.07104</v>
      </c>
      <c r="AE176">
        <v>65.581400000000002</v>
      </c>
      <c r="AF176">
        <f t="shared" si="27"/>
        <v>0.80400000000000693</v>
      </c>
      <c r="AG176">
        <f t="shared" si="28"/>
        <v>65.581400000000002</v>
      </c>
    </row>
    <row r="177" spans="28:33" x14ac:dyDescent="0.25">
      <c r="AB177">
        <v>3.0070399999999999</v>
      </c>
      <c r="AC177">
        <v>1.8536635671924755</v>
      </c>
      <c r="AD177">
        <v>3.0070399999999999</v>
      </c>
      <c r="AE177">
        <v>65.606899999999996</v>
      </c>
      <c r="AF177">
        <f t="shared" si="27"/>
        <v>0.79350000000000698</v>
      </c>
      <c r="AG177">
        <f t="shared" si="28"/>
        <v>65.606899999999996</v>
      </c>
    </row>
    <row r="178" spans="28:33" x14ac:dyDescent="0.25">
      <c r="AB178">
        <v>2.9430399999999999</v>
      </c>
      <c r="AC178">
        <v>1.7623251666967512</v>
      </c>
      <c r="AD178">
        <v>2.9430399999999999</v>
      </c>
      <c r="AE178">
        <v>64.436599999999999</v>
      </c>
      <c r="AF178">
        <f t="shared" si="27"/>
        <v>0.78300000000000702</v>
      </c>
      <c r="AG178">
        <f t="shared" si="28"/>
        <v>64.436599999999999</v>
      </c>
    </row>
    <row r="179" spans="28:33" x14ac:dyDescent="0.25">
      <c r="AB179">
        <v>2.8790399999999998</v>
      </c>
      <c r="AC179">
        <v>1.7441327182128903</v>
      </c>
      <c r="AD179">
        <v>2.8790399999999998</v>
      </c>
      <c r="AE179">
        <v>64.194199999999995</v>
      </c>
      <c r="AF179">
        <f t="shared" si="27"/>
        <v>0.77250000000000707</v>
      </c>
      <c r="AG179">
        <f t="shared" si="28"/>
        <v>64.194199999999995</v>
      </c>
    </row>
    <row r="180" spans="28:33" x14ac:dyDescent="0.25">
      <c r="AB180">
        <v>2.8150399999999998</v>
      </c>
      <c r="AC180">
        <v>1.8127750114181955</v>
      </c>
      <c r="AD180">
        <v>2.8150399999999998</v>
      </c>
      <c r="AE180">
        <v>65.092399999999998</v>
      </c>
      <c r="AF180">
        <f t="shared" si="27"/>
        <v>0.76200000000000712</v>
      </c>
      <c r="AG180">
        <f t="shared" si="28"/>
        <v>65.092399999999998</v>
      </c>
    </row>
    <row r="181" spans="28:33" x14ac:dyDescent="0.25">
      <c r="AB181">
        <v>2.7510399999999997</v>
      </c>
      <c r="AC181">
        <v>1.7675478977596564</v>
      </c>
      <c r="AD181">
        <v>2.7510399999999997</v>
      </c>
      <c r="AE181">
        <v>64.505600000000001</v>
      </c>
      <c r="AF181">
        <f t="shared" si="27"/>
        <v>0.75150000000000716</v>
      </c>
      <c r="AG181">
        <f t="shared" si="28"/>
        <v>64.505600000000001</v>
      </c>
    </row>
    <row r="182" spans="28:33" x14ac:dyDescent="0.25">
      <c r="AB182">
        <v>2.6870399999999997</v>
      </c>
      <c r="AC182">
        <v>1.6715689516075702</v>
      </c>
      <c r="AD182">
        <v>2.6870399999999997</v>
      </c>
      <c r="AE182">
        <v>63.194499999999998</v>
      </c>
      <c r="AF182">
        <f t="shared" si="27"/>
        <v>0.74100000000000721</v>
      </c>
      <c r="AG182">
        <f t="shared" si="28"/>
        <v>63.194499999999998</v>
      </c>
    </row>
    <row r="183" spans="28:33" x14ac:dyDescent="0.25">
      <c r="AB183">
        <v>2.6230399999999996</v>
      </c>
      <c r="AC183">
        <v>1.6679980240965131</v>
      </c>
      <c r="AD183">
        <v>2.6230399999999996</v>
      </c>
      <c r="AE183">
        <v>63.143900000000002</v>
      </c>
      <c r="AF183">
        <f t="shared" si="27"/>
        <v>0.73050000000000725</v>
      </c>
      <c r="AG183">
        <f t="shared" si="28"/>
        <v>63.143900000000002</v>
      </c>
    </row>
    <row r="184" spans="28:33" x14ac:dyDescent="0.25">
      <c r="AB184">
        <v>2.5590399999999995</v>
      </c>
      <c r="AC184">
        <v>1.6635021097046412</v>
      </c>
      <c r="AD184">
        <v>2.5590399999999995</v>
      </c>
      <c r="AE184">
        <v>63.08</v>
      </c>
      <c r="AF184">
        <f t="shared" si="27"/>
        <v>0.7200000000000073</v>
      </c>
      <c r="AG184">
        <f t="shared" si="28"/>
        <v>63.08</v>
      </c>
    </row>
    <row r="185" spans="28:33" x14ac:dyDescent="0.25">
      <c r="AB185">
        <v>2.4950399999999995</v>
      </c>
      <c r="AC185">
        <v>1.5936673429033665</v>
      </c>
      <c r="AD185">
        <v>2.4950399999999995</v>
      </c>
      <c r="AE185">
        <v>62.058999999999997</v>
      </c>
      <c r="AF185">
        <f t="shared" si="27"/>
        <v>0.70950000000000735</v>
      </c>
      <c r="AG185">
        <f t="shared" si="28"/>
        <v>62.058999999999997</v>
      </c>
    </row>
    <row r="186" spans="28:33" x14ac:dyDescent="0.25">
      <c r="AB186">
        <v>2.4310399999999994</v>
      </c>
      <c r="AC186">
        <v>1.6274372081528596</v>
      </c>
      <c r="AD186">
        <v>2.4310399999999994</v>
      </c>
      <c r="AE186">
        <v>62.5595</v>
      </c>
      <c r="AF186">
        <f t="shared" si="27"/>
        <v>0.69900000000000739</v>
      </c>
      <c r="AG186">
        <f t="shared" si="28"/>
        <v>62.5595</v>
      </c>
    </row>
    <row r="187" spans="28:33" x14ac:dyDescent="0.25">
      <c r="AB187">
        <v>2.3670399999999994</v>
      </c>
      <c r="AC187">
        <v>1.529927032896566</v>
      </c>
      <c r="AD187">
        <v>2.3670399999999994</v>
      </c>
      <c r="AE187">
        <v>61.0779</v>
      </c>
      <c r="AF187">
        <f t="shared" si="27"/>
        <v>0.68850000000000744</v>
      </c>
      <c r="AG187">
        <f t="shared" si="28"/>
        <v>61.0779</v>
      </c>
    </row>
    <row r="188" spans="28:33" x14ac:dyDescent="0.25">
      <c r="AB188">
        <v>2.3030399999999993</v>
      </c>
      <c r="AC188">
        <v>1.5799859505715563</v>
      </c>
      <c r="AD188">
        <v>2.3030399999999993</v>
      </c>
      <c r="AE188">
        <v>61.852499999999999</v>
      </c>
      <c r="AF188">
        <f t="shared" si="27"/>
        <v>0.67800000000000749</v>
      </c>
      <c r="AG188">
        <f t="shared" si="28"/>
        <v>61.852499999999999</v>
      </c>
    </row>
    <row r="189" spans="28:33" x14ac:dyDescent="0.25">
      <c r="AB189">
        <v>2.2390399999999993</v>
      </c>
      <c r="AC189">
        <v>1.5209916233189229</v>
      </c>
      <c r="AD189">
        <v>2.2390399999999993</v>
      </c>
      <c r="AE189">
        <v>60.936399999999999</v>
      </c>
      <c r="AF189">
        <f t="shared" si="27"/>
        <v>0.66750000000000753</v>
      </c>
      <c r="AG189">
        <f t="shared" si="28"/>
        <v>60.936399999999999</v>
      </c>
    </row>
    <row r="190" spans="28:33" x14ac:dyDescent="0.25">
      <c r="AB190">
        <v>2.1750399999999992</v>
      </c>
      <c r="AC190">
        <v>1.4663622377963907</v>
      </c>
      <c r="AD190">
        <v>2.1750399999999992</v>
      </c>
      <c r="AE190">
        <v>60.048999999999999</v>
      </c>
      <c r="AF190">
        <f t="shared" si="27"/>
        <v>0.65700000000000758</v>
      </c>
      <c r="AG190">
        <f t="shared" si="28"/>
        <v>60.048999999999999</v>
      </c>
    </row>
    <row r="191" spans="28:33" x14ac:dyDescent="0.25">
      <c r="AB191">
        <v>2.1110399999999991</v>
      </c>
      <c r="AC191">
        <v>1.5109137737293781</v>
      </c>
      <c r="AD191">
        <v>2.1110399999999991</v>
      </c>
      <c r="AE191">
        <v>60.775599999999997</v>
      </c>
      <c r="AF191">
        <f t="shared" si="27"/>
        <v>0.64650000000000762</v>
      </c>
      <c r="AG191">
        <f t="shared" si="28"/>
        <v>60.775599999999997</v>
      </c>
    </row>
    <row r="192" spans="28:33" x14ac:dyDescent="0.25">
      <c r="AB192">
        <v>2.0470399999999991</v>
      </c>
      <c r="AC192">
        <v>1.4170601369348328</v>
      </c>
      <c r="AD192">
        <v>2.0470399999999991</v>
      </c>
      <c r="AE192">
        <v>59.213700000000003</v>
      </c>
      <c r="AF192">
        <f t="shared" si="27"/>
        <v>0.63600000000000767</v>
      </c>
      <c r="AG192">
        <f t="shared" si="28"/>
        <v>59.213700000000003</v>
      </c>
    </row>
    <row r="193" spans="28:33" x14ac:dyDescent="0.25">
      <c r="AB193">
        <v>1.983039999999999</v>
      </c>
      <c r="AC193">
        <v>1.414188736972942</v>
      </c>
      <c r="AD193">
        <v>1.983039999999999</v>
      </c>
      <c r="AE193">
        <v>59.164000000000001</v>
      </c>
      <c r="AF193">
        <f t="shared" si="27"/>
        <v>0.62550000000000772</v>
      </c>
      <c r="AG193">
        <f t="shared" si="28"/>
        <v>59.164000000000001</v>
      </c>
    </row>
    <row r="194" spans="28:33" x14ac:dyDescent="0.25">
      <c r="AB194">
        <v>1.919039999999999</v>
      </c>
      <c r="AC194">
        <v>1.4416482334312413</v>
      </c>
      <c r="AD194">
        <v>1.919039999999999</v>
      </c>
      <c r="AE194">
        <v>59.634500000000003</v>
      </c>
      <c r="AF194">
        <f t="shared" si="27"/>
        <v>0.61500000000000776</v>
      </c>
      <c r="AG194">
        <f t="shared" si="28"/>
        <v>59.634500000000003</v>
      </c>
    </row>
    <row r="195" spans="28:33" x14ac:dyDescent="0.25">
      <c r="AB195">
        <v>1.8550399999999989</v>
      </c>
      <c r="AC195">
        <v>1.3406937723640544</v>
      </c>
      <c r="AD195">
        <v>1.8550399999999989</v>
      </c>
      <c r="AE195">
        <v>57.8504</v>
      </c>
      <c r="AF195">
        <f t="shared" si="27"/>
        <v>0.60450000000000781</v>
      </c>
      <c r="AG195">
        <f t="shared" si="28"/>
        <v>57.8504</v>
      </c>
    </row>
    <row r="196" spans="28:33" x14ac:dyDescent="0.25">
      <c r="AB196">
        <v>1.7910399999999989</v>
      </c>
      <c r="AC196">
        <v>1.3626173121368352</v>
      </c>
      <c r="AD196">
        <v>1.7910399999999989</v>
      </c>
      <c r="AE196">
        <v>58.250799999999998</v>
      </c>
      <c r="AF196">
        <f t="shared" si="27"/>
        <v>0.59400000000000786</v>
      </c>
      <c r="AG196">
        <f t="shared" si="28"/>
        <v>58.250799999999998</v>
      </c>
    </row>
    <row r="197" spans="28:33" x14ac:dyDescent="0.25">
      <c r="AB197">
        <v>1.7270399999999988</v>
      </c>
      <c r="AC197">
        <v>1.4040178040130438</v>
      </c>
      <c r="AD197">
        <v>1.7270399999999988</v>
      </c>
      <c r="AE197">
        <v>58.987000000000002</v>
      </c>
      <c r="AF197">
        <f t="shared" si="27"/>
        <v>0.5835000000000079</v>
      </c>
      <c r="AG197">
        <f t="shared" si="28"/>
        <v>58.987000000000002</v>
      </c>
    </row>
    <row r="198" spans="28:33" x14ac:dyDescent="0.25">
      <c r="AB198">
        <v>1.6630399999999987</v>
      </c>
      <c r="AC198">
        <v>1.3286859524901951</v>
      </c>
      <c r="AD198">
        <v>1.6630399999999987</v>
      </c>
      <c r="AE198">
        <v>57.627899999999997</v>
      </c>
      <c r="AF198">
        <f t="shared" si="27"/>
        <v>0.57300000000000795</v>
      </c>
      <c r="AG198">
        <f t="shared" si="28"/>
        <v>57.627899999999997</v>
      </c>
    </row>
    <row r="199" spans="28:33" x14ac:dyDescent="0.25">
      <c r="AB199">
        <v>1.5990400000000005</v>
      </c>
      <c r="AC199">
        <v>1.3349523877777958</v>
      </c>
      <c r="AD199">
        <v>1.5990400000000005</v>
      </c>
      <c r="AE199">
        <v>57.744300000000003</v>
      </c>
      <c r="AF199">
        <f t="shared" si="27"/>
        <v>0.56250000000000799</v>
      </c>
      <c r="AG199">
        <f t="shared" si="28"/>
        <v>57.744300000000003</v>
      </c>
    </row>
    <row r="200" spans="28:33" x14ac:dyDescent="0.25">
      <c r="AB200">
        <v>1.5350400000000004</v>
      </c>
      <c r="AC200">
        <v>1.3102717886078441</v>
      </c>
      <c r="AD200">
        <v>1.5350400000000004</v>
      </c>
      <c r="AE200">
        <v>57.282200000000003</v>
      </c>
      <c r="AF200">
        <f t="shared" si="27"/>
        <v>0.55200000000000804</v>
      </c>
      <c r="AG200">
        <f t="shared" si="28"/>
        <v>57.282200000000003</v>
      </c>
    </row>
    <row r="201" spans="28:33" x14ac:dyDescent="0.25">
      <c r="AB201">
        <v>1.4710400000000003</v>
      </c>
      <c r="AC201">
        <v>1.275764014537851</v>
      </c>
      <c r="AD201">
        <v>1.4710400000000003</v>
      </c>
      <c r="AE201">
        <v>56.619300000000003</v>
      </c>
      <c r="AF201">
        <f t="shared" si="27"/>
        <v>0.54150000000000809</v>
      </c>
      <c r="AG201">
        <f t="shared" si="28"/>
        <v>56.619300000000003</v>
      </c>
    </row>
    <row r="202" spans="28:33" x14ac:dyDescent="0.25">
      <c r="AB202">
        <v>1.4070400000000003</v>
      </c>
      <c r="AC202">
        <v>1.2614201718679332</v>
      </c>
      <c r="AD202">
        <v>1.4070400000000003</v>
      </c>
      <c r="AE202">
        <v>56.337800000000001</v>
      </c>
      <c r="AF202">
        <f t="shared" si="27"/>
        <v>0.53100000000000813</v>
      </c>
      <c r="AG202">
        <f t="shared" si="28"/>
        <v>56.337800000000001</v>
      </c>
    </row>
    <row r="203" spans="28:33" x14ac:dyDescent="0.25">
      <c r="AB203">
        <v>1.3430400000000002</v>
      </c>
      <c r="AC203">
        <v>1.2496887188134118</v>
      </c>
      <c r="AD203">
        <v>1.3430400000000002</v>
      </c>
      <c r="AE203">
        <v>56.104900000000001</v>
      </c>
      <c r="AF203">
        <f t="shared" si="27"/>
        <v>0.52050000000000818</v>
      </c>
      <c r="AG203">
        <f t="shared" si="28"/>
        <v>56.104900000000001</v>
      </c>
    </row>
    <row r="204" spans="28:33" x14ac:dyDescent="0.25">
      <c r="AB204">
        <v>1.2790400000000002</v>
      </c>
      <c r="AC204">
        <v>1.2537650148726178</v>
      </c>
      <c r="AD204">
        <v>1.2790400000000002</v>
      </c>
      <c r="AE204">
        <v>56.186100000000003</v>
      </c>
      <c r="AF204">
        <f t="shared" si="27"/>
        <v>0.51000000000000822</v>
      </c>
      <c r="AG204">
        <f t="shared" si="28"/>
        <v>56.186100000000003</v>
      </c>
    </row>
    <row r="205" spans="28:33" x14ac:dyDescent="0.25">
      <c r="AB205">
        <v>1.2150400000000001</v>
      </c>
      <c r="AC205">
        <v>1.2033687544858187</v>
      </c>
      <c r="AD205">
        <v>1.2150400000000001</v>
      </c>
      <c r="AE205">
        <v>55.161099999999998</v>
      </c>
      <c r="AF205">
        <f t="shared" si="27"/>
        <v>0.49950000000000822</v>
      </c>
      <c r="AG205">
        <f t="shared" si="28"/>
        <v>55.161099999999998</v>
      </c>
    </row>
    <row r="206" spans="28:33" x14ac:dyDescent="0.25">
      <c r="AB206">
        <v>1.1510400000000001</v>
      </c>
      <c r="AC206">
        <v>1.2156265287274628</v>
      </c>
      <c r="AD206">
        <v>1.1510400000000001</v>
      </c>
      <c r="AE206">
        <v>55.414700000000003</v>
      </c>
      <c r="AF206">
        <f t="shared" si="27"/>
        <v>0.48900000000000821</v>
      </c>
      <c r="AG206">
        <f t="shared" si="28"/>
        <v>55.414700000000003</v>
      </c>
    </row>
    <row r="207" spans="28:33" x14ac:dyDescent="0.25">
      <c r="AB207">
        <v>1.08704</v>
      </c>
      <c r="AC207">
        <v>1.1836421421313212</v>
      </c>
      <c r="AD207">
        <v>1.08704</v>
      </c>
      <c r="AE207">
        <v>54.747</v>
      </c>
      <c r="AF207">
        <f t="shared" si="27"/>
        <v>0.4785000000000082</v>
      </c>
      <c r="AG207">
        <f t="shared" si="28"/>
        <v>54.747</v>
      </c>
    </row>
    <row r="208" spans="28:33" x14ac:dyDescent="0.25">
      <c r="AB208">
        <v>1.0230399999999999</v>
      </c>
      <c r="AC208">
        <v>1.2145577572011497</v>
      </c>
      <c r="AD208">
        <v>1.0230399999999999</v>
      </c>
      <c r="AE208">
        <v>55.392699999999998</v>
      </c>
      <c r="AF208">
        <f t="shared" si="27"/>
        <v>0.46800000000000819</v>
      </c>
      <c r="AG208">
        <f t="shared" si="28"/>
        <v>55.392699999999998</v>
      </c>
    </row>
    <row r="209" spans="28:33" x14ac:dyDescent="0.25">
      <c r="AB209">
        <v>0.95903999999999989</v>
      </c>
      <c r="AC209">
        <v>1.1628242630336929</v>
      </c>
      <c r="AD209">
        <v>0.95903999999999989</v>
      </c>
      <c r="AE209">
        <v>54.3018</v>
      </c>
      <c r="AF209">
        <f t="shared" si="27"/>
        <v>0.45750000000000818</v>
      </c>
      <c r="AG209">
        <f t="shared" si="28"/>
        <v>54.3018</v>
      </c>
    </row>
    <row r="210" spans="28:33" x14ac:dyDescent="0.25">
      <c r="AB210">
        <v>0.89503999999999984</v>
      </c>
      <c r="AC210">
        <v>1.1386479086776167</v>
      </c>
      <c r="AD210">
        <v>0.89503999999999984</v>
      </c>
      <c r="AE210">
        <v>53.773899999999998</v>
      </c>
      <c r="AF210">
        <f t="shared" si="27"/>
        <v>0.44700000000000817</v>
      </c>
      <c r="AG210">
        <f t="shared" si="28"/>
        <v>53.773899999999998</v>
      </c>
    </row>
    <row r="211" spans="28:33" x14ac:dyDescent="0.25">
      <c r="AB211">
        <v>0.83103999999999978</v>
      </c>
      <c r="AC211">
        <v>1.1396265186581787</v>
      </c>
      <c r="AD211">
        <v>0.83103999999999978</v>
      </c>
      <c r="AE211">
        <v>53.795499999999997</v>
      </c>
      <c r="AF211">
        <f t="shared" si="27"/>
        <v>0.43650000000000816</v>
      </c>
      <c r="AG211">
        <f t="shared" si="28"/>
        <v>53.795499999999997</v>
      </c>
    </row>
    <row r="212" spans="28:33" x14ac:dyDescent="0.25">
      <c r="AB212">
        <v>0.76703999999999972</v>
      </c>
      <c r="AC212">
        <v>1.1030012534720341</v>
      </c>
      <c r="AD212">
        <v>0.76703999999999972</v>
      </c>
      <c r="AE212">
        <v>52.973399999999998</v>
      </c>
      <c r="AF212">
        <f t="shared" si="27"/>
        <v>0.42600000000000815</v>
      </c>
      <c r="AG212">
        <f t="shared" si="28"/>
        <v>52.973399999999998</v>
      </c>
    </row>
    <row r="213" spans="28:33" x14ac:dyDescent="0.25">
      <c r="AB213">
        <v>0.70303999999999967</v>
      </c>
      <c r="AC213">
        <v>1.1028698968969135</v>
      </c>
      <c r="AD213">
        <v>0.70303999999999967</v>
      </c>
      <c r="AE213">
        <v>52.970399999999998</v>
      </c>
      <c r="AF213">
        <f t="shared" si="27"/>
        <v>0.41550000000000814</v>
      </c>
      <c r="AG213">
        <f t="shared" si="28"/>
        <v>52.970399999999998</v>
      </c>
    </row>
    <row r="214" spans="28:33" x14ac:dyDescent="0.25">
      <c r="AB214">
        <v>0.63903999999999961</v>
      </c>
      <c r="AC214">
        <v>1.0724240384773225</v>
      </c>
      <c r="AD214">
        <v>0.63903999999999961</v>
      </c>
      <c r="AE214">
        <v>52.264800000000001</v>
      </c>
      <c r="AF214">
        <f t="shared" si="27"/>
        <v>0.40500000000000813</v>
      </c>
      <c r="AG214">
        <f t="shared" si="28"/>
        <v>52.264800000000001</v>
      </c>
    </row>
    <row r="215" spans="28:33" x14ac:dyDescent="0.25">
      <c r="AB215">
        <v>0.57503999999999955</v>
      </c>
      <c r="AC215">
        <v>1.0785186130312827</v>
      </c>
      <c r="AD215">
        <v>0.57503999999999955</v>
      </c>
      <c r="AE215">
        <v>52.407699999999998</v>
      </c>
      <c r="AF215">
        <f t="shared" si="27"/>
        <v>0.39450000000000812</v>
      </c>
      <c r="AG215">
        <f t="shared" si="28"/>
        <v>52.407699999999998</v>
      </c>
    </row>
    <row r="216" spans="28:33" x14ac:dyDescent="0.25">
      <c r="AB216">
        <v>0.51103999999999949</v>
      </c>
      <c r="AC216">
        <v>1.0698036145738765</v>
      </c>
      <c r="AD216">
        <v>0.51103999999999949</v>
      </c>
      <c r="AE216">
        <v>52.203099999999999</v>
      </c>
      <c r="AF216">
        <f t="shared" si="27"/>
        <v>0.38400000000000811</v>
      </c>
      <c r="AG216">
        <f t="shared" si="28"/>
        <v>52.203099999999999</v>
      </c>
    </row>
    <row r="217" spans="28:33" x14ac:dyDescent="0.25">
      <c r="AB217">
        <v>0.44703999999999944</v>
      </c>
      <c r="AC217">
        <v>1.0153405326884244</v>
      </c>
      <c r="AD217">
        <v>0.44703999999999944</v>
      </c>
      <c r="AE217">
        <v>50.884399999999999</v>
      </c>
      <c r="AF217">
        <f t="shared" si="27"/>
        <v>0.3735000000000081</v>
      </c>
      <c r="AG217">
        <f t="shared" si="28"/>
        <v>50.884399999999999</v>
      </c>
    </row>
    <row r="218" spans="28:33" x14ac:dyDescent="0.25">
      <c r="AB218">
        <v>0.38303999999999938</v>
      </c>
      <c r="AC218">
        <v>1.0264888171926509</v>
      </c>
      <c r="AD218">
        <v>0.38303999999999938</v>
      </c>
      <c r="AE218">
        <v>51.1601</v>
      </c>
      <c r="AF218">
        <f t="shared" ref="AF218:AF255" si="29">AF217-AF$19</f>
        <v>0.36300000000000809</v>
      </c>
      <c r="AG218">
        <f t="shared" ref="AG218:AG255" si="30">AE218</f>
        <v>51.1601</v>
      </c>
    </row>
    <row r="219" spans="28:33" x14ac:dyDescent="0.25">
      <c r="AB219">
        <v>0.31903999999999932</v>
      </c>
      <c r="AC219">
        <v>1.0186071610588694</v>
      </c>
      <c r="AD219">
        <v>0.31903999999999932</v>
      </c>
      <c r="AE219">
        <v>50.965499999999999</v>
      </c>
      <c r="AF219">
        <f t="shared" si="29"/>
        <v>0.35250000000000808</v>
      </c>
      <c r="AG219">
        <f t="shared" si="30"/>
        <v>50.965499999999999</v>
      </c>
    </row>
    <row r="220" spans="28:33" x14ac:dyDescent="0.25">
      <c r="AB220">
        <v>0.25503999999999927</v>
      </c>
      <c r="AC220">
        <v>1.0091905548150948</v>
      </c>
      <c r="AD220">
        <v>0.25503999999999927</v>
      </c>
      <c r="AE220">
        <v>50.731000000000002</v>
      </c>
      <c r="AF220">
        <f t="shared" si="29"/>
        <v>0.34200000000000808</v>
      </c>
      <c r="AG220">
        <f t="shared" si="30"/>
        <v>50.731000000000002</v>
      </c>
    </row>
    <row r="221" spans="28:33" x14ac:dyDescent="0.25">
      <c r="AB221">
        <v>0.19103999999999921</v>
      </c>
      <c r="AC221">
        <v>0.9958344366411489</v>
      </c>
      <c r="AD221">
        <v>0.19103999999999921</v>
      </c>
      <c r="AE221">
        <v>50.394599999999997</v>
      </c>
      <c r="AF221">
        <f t="shared" si="29"/>
        <v>0.33150000000000807</v>
      </c>
      <c r="AG221">
        <f t="shared" si="30"/>
        <v>50.394599999999997</v>
      </c>
    </row>
    <row r="222" spans="28:33" x14ac:dyDescent="0.25">
      <c r="AB222">
        <v>0.12703999999999915</v>
      </c>
      <c r="AC222">
        <v>0.97151261865675576</v>
      </c>
      <c r="AD222">
        <v>0.12703999999999915</v>
      </c>
      <c r="AE222">
        <v>49.770299999999999</v>
      </c>
      <c r="AF222">
        <f t="shared" si="29"/>
        <v>0.32100000000000806</v>
      </c>
      <c r="AG222">
        <f t="shared" si="30"/>
        <v>49.770299999999999</v>
      </c>
    </row>
    <row r="223" spans="28:33" x14ac:dyDescent="0.25">
      <c r="AB223">
        <v>6.3039999999999097E-2</v>
      </c>
      <c r="AC223">
        <v>0.98024072668952755</v>
      </c>
      <c r="AD223">
        <v>6.3039999999999097E-2</v>
      </c>
      <c r="AE223">
        <v>49.996099999999998</v>
      </c>
      <c r="AF223">
        <f t="shared" si="29"/>
        <v>0.31050000000000805</v>
      </c>
      <c r="AG223">
        <f t="shared" si="30"/>
        <v>49.996099999999998</v>
      </c>
    </row>
    <row r="224" spans="28:33" x14ac:dyDescent="0.25">
      <c r="AB224">
        <v>-9.6000000000096009E-4</v>
      </c>
      <c r="AC224">
        <v>0.96411312513734215</v>
      </c>
      <c r="AD224">
        <v>-9.6000000000096009E-4</v>
      </c>
      <c r="AE224">
        <v>49.577300000000001</v>
      </c>
      <c r="AF224">
        <f t="shared" si="29"/>
        <v>0.30000000000000804</v>
      </c>
      <c r="AG224">
        <f t="shared" si="30"/>
        <v>49.577300000000001</v>
      </c>
    </row>
    <row r="225" spans="28:33" x14ac:dyDescent="0.25">
      <c r="AB225">
        <v>-6.4960000000001017E-2</v>
      </c>
      <c r="AC225">
        <v>0.9732844636085316</v>
      </c>
      <c r="AD225">
        <v>-6.4960000000001017E-2</v>
      </c>
      <c r="AE225">
        <v>49.816299999999998</v>
      </c>
      <c r="AF225">
        <f t="shared" si="29"/>
        <v>0.28950000000000803</v>
      </c>
      <c r="AG225">
        <f t="shared" si="30"/>
        <v>49.816299999999998</v>
      </c>
    </row>
    <row r="226" spans="28:33" x14ac:dyDescent="0.25">
      <c r="AB226">
        <v>-0.12896000000000107</v>
      </c>
      <c r="AC226">
        <v>0.93511056953561189</v>
      </c>
      <c r="AD226">
        <v>-0.12896000000000107</v>
      </c>
      <c r="AE226">
        <v>48.806600000000003</v>
      </c>
      <c r="AF226">
        <f t="shared" si="29"/>
        <v>0.27900000000000802</v>
      </c>
      <c r="AG226">
        <f t="shared" si="30"/>
        <v>48.806600000000003</v>
      </c>
    </row>
    <row r="227" spans="28:33" x14ac:dyDescent="0.25">
      <c r="AB227">
        <v>-0.19296000000000113</v>
      </c>
      <c r="AC227">
        <v>0.9208715051074261</v>
      </c>
      <c r="AD227">
        <v>-0.19296000000000113</v>
      </c>
      <c r="AE227">
        <v>48.419699999999999</v>
      </c>
      <c r="AF227">
        <f t="shared" si="29"/>
        <v>0.26850000000000801</v>
      </c>
      <c r="AG227">
        <f t="shared" si="30"/>
        <v>48.419699999999999</v>
      </c>
    </row>
    <row r="228" spans="28:33" x14ac:dyDescent="0.25">
      <c r="AB228">
        <v>-0.25708799999999954</v>
      </c>
      <c r="AC228">
        <v>0.9301920254403131</v>
      </c>
      <c r="AD228">
        <v>-0.25708799999999954</v>
      </c>
      <c r="AE228">
        <v>48.6736</v>
      </c>
      <c r="AF228">
        <f t="shared" si="29"/>
        <v>0.258000000000008</v>
      </c>
      <c r="AG228">
        <f t="shared" si="30"/>
        <v>48.6736</v>
      </c>
    </row>
    <row r="229" spans="28:33" x14ac:dyDescent="0.25">
      <c r="AB229">
        <v>-0.3210879999999996</v>
      </c>
      <c r="AC229">
        <v>0.93142116263904784</v>
      </c>
      <c r="AD229">
        <v>-0.3210879999999996</v>
      </c>
      <c r="AE229">
        <v>48.706899999999997</v>
      </c>
      <c r="AF229">
        <f t="shared" si="29"/>
        <v>0.24750000000000799</v>
      </c>
      <c r="AG229">
        <f t="shared" si="30"/>
        <v>48.706899999999997</v>
      </c>
    </row>
    <row r="230" spans="28:33" x14ac:dyDescent="0.25">
      <c r="AB230">
        <v>-0.38508799999999965</v>
      </c>
      <c r="AC230">
        <v>0.89727656281112511</v>
      </c>
      <c r="AD230">
        <v>-0.38508799999999965</v>
      </c>
      <c r="AE230">
        <v>47.765799999999999</v>
      </c>
      <c r="AF230">
        <f t="shared" si="29"/>
        <v>0.23700000000000798</v>
      </c>
      <c r="AG230">
        <f t="shared" si="30"/>
        <v>47.765799999999999</v>
      </c>
    </row>
    <row r="231" spans="28:33" x14ac:dyDescent="0.25">
      <c r="AB231">
        <v>-0.44908799999999971</v>
      </c>
      <c r="AC231">
        <v>0.89304838894084893</v>
      </c>
      <c r="AD231">
        <v>-0.44908799999999971</v>
      </c>
      <c r="AE231">
        <v>47.646900000000002</v>
      </c>
      <c r="AF231">
        <f t="shared" si="29"/>
        <v>0.22650000000000797</v>
      </c>
      <c r="AG231">
        <f t="shared" si="30"/>
        <v>47.646900000000002</v>
      </c>
    </row>
    <row r="232" spans="28:33" x14ac:dyDescent="0.25">
      <c r="AB232">
        <v>-0.51308799999999977</v>
      </c>
      <c r="AC232">
        <v>0.90223276925539819</v>
      </c>
      <c r="AD232">
        <v>-0.51308799999999977</v>
      </c>
      <c r="AE232">
        <v>47.904499999999999</v>
      </c>
      <c r="AF232">
        <f t="shared" si="29"/>
        <v>0.21600000000000796</v>
      </c>
      <c r="AG232">
        <f t="shared" si="30"/>
        <v>47.904499999999999</v>
      </c>
    </row>
    <row r="233" spans="28:33" x14ac:dyDescent="0.25">
      <c r="AB233">
        <v>-0.57708799999999982</v>
      </c>
      <c r="AC233">
        <v>0.89022119330974003</v>
      </c>
      <c r="AD233">
        <v>-0.57708799999999982</v>
      </c>
      <c r="AE233">
        <v>47.567100000000003</v>
      </c>
      <c r="AF233">
        <f t="shared" si="29"/>
        <v>0.20550000000000795</v>
      </c>
      <c r="AG233">
        <f t="shared" si="30"/>
        <v>47.567100000000003</v>
      </c>
    </row>
    <row r="234" spans="28:33" x14ac:dyDescent="0.25">
      <c r="AB234">
        <v>-0.64108799999999988</v>
      </c>
      <c r="AC234">
        <v>0.85671321318009019</v>
      </c>
      <c r="AD234">
        <v>-0.64108799999999988</v>
      </c>
      <c r="AE234">
        <v>46.602800000000002</v>
      </c>
      <c r="AF234">
        <f t="shared" si="29"/>
        <v>0.19500000000000794</v>
      </c>
      <c r="AG234">
        <f t="shared" si="30"/>
        <v>46.602800000000002</v>
      </c>
    </row>
    <row r="235" spans="28:33" x14ac:dyDescent="0.25">
      <c r="AB235">
        <v>-0.70508799999999994</v>
      </c>
      <c r="AC235">
        <v>0.86791095428056753</v>
      </c>
      <c r="AD235">
        <v>-0.70508799999999994</v>
      </c>
      <c r="AE235">
        <v>46.928899999999999</v>
      </c>
      <c r="AF235">
        <f t="shared" si="29"/>
        <v>0.18450000000000794</v>
      </c>
      <c r="AG235">
        <f t="shared" si="30"/>
        <v>46.928899999999999</v>
      </c>
    </row>
    <row r="236" spans="28:33" x14ac:dyDescent="0.25">
      <c r="AB236">
        <v>-0.76908799999999999</v>
      </c>
      <c r="AC236">
        <v>0.85192655369303505</v>
      </c>
      <c r="AD236">
        <v>-0.76908799999999999</v>
      </c>
      <c r="AE236">
        <v>46.462200000000003</v>
      </c>
      <c r="AF236">
        <f t="shared" si="29"/>
        <v>0.17400000000000793</v>
      </c>
      <c r="AG236">
        <f t="shared" si="30"/>
        <v>46.462200000000003</v>
      </c>
    </row>
    <row r="237" spans="28:33" x14ac:dyDescent="0.25">
      <c r="AB237">
        <v>-0.83308800000000005</v>
      </c>
      <c r="AC237">
        <v>0.85200465751666354</v>
      </c>
      <c r="AD237">
        <v>-0.83308800000000005</v>
      </c>
      <c r="AE237">
        <v>46.464500000000001</v>
      </c>
      <c r="AF237">
        <f t="shared" si="29"/>
        <v>0.16350000000000792</v>
      </c>
      <c r="AG237">
        <f t="shared" si="30"/>
        <v>46.464500000000001</v>
      </c>
    </row>
    <row r="238" spans="28:33" x14ac:dyDescent="0.25">
      <c r="AB238">
        <v>-0.89708800000000011</v>
      </c>
      <c r="AC238">
        <v>0.84961698278024911</v>
      </c>
      <c r="AD238">
        <v>-0.89708800000000011</v>
      </c>
      <c r="AE238">
        <v>46.394100000000002</v>
      </c>
      <c r="AF238">
        <f t="shared" si="29"/>
        <v>0.15300000000000791</v>
      </c>
      <c r="AG238">
        <f t="shared" si="30"/>
        <v>46.394100000000002</v>
      </c>
    </row>
    <row r="239" spans="28:33" x14ac:dyDescent="0.25">
      <c r="AB239">
        <v>-0.96108800000000016</v>
      </c>
      <c r="AC239">
        <v>0.85800773740647884</v>
      </c>
      <c r="AD239">
        <v>-0.96108800000000016</v>
      </c>
      <c r="AE239">
        <v>46.640700000000002</v>
      </c>
      <c r="AF239">
        <f t="shared" si="29"/>
        <v>0.1425000000000079</v>
      </c>
      <c r="AG239">
        <f t="shared" si="30"/>
        <v>46.640700000000002</v>
      </c>
    </row>
    <row r="240" spans="28:33" x14ac:dyDescent="0.25">
      <c r="AB240">
        <v>-1.0250880000000002</v>
      </c>
      <c r="AC240">
        <v>0.85125445400824085</v>
      </c>
      <c r="AD240">
        <v>-1.0250880000000002</v>
      </c>
      <c r="AE240">
        <v>46.442399999999999</v>
      </c>
      <c r="AF240">
        <f t="shared" si="29"/>
        <v>0.13200000000000789</v>
      </c>
      <c r="AG240">
        <f t="shared" si="30"/>
        <v>46.442399999999999</v>
      </c>
    </row>
    <row r="241" spans="28:33" x14ac:dyDescent="0.25">
      <c r="AB241">
        <v>-1.0891519999999986</v>
      </c>
      <c r="AC241">
        <v>0.81014938212970344</v>
      </c>
      <c r="AD241">
        <v>-1.0891519999999986</v>
      </c>
      <c r="AE241">
        <v>45.203499999999998</v>
      </c>
      <c r="AF241">
        <f t="shared" si="29"/>
        <v>0.12150000000000789</v>
      </c>
      <c r="AG241">
        <f t="shared" si="30"/>
        <v>45.203499999999998</v>
      </c>
    </row>
    <row r="242" spans="28:33" x14ac:dyDescent="0.25">
      <c r="AB242">
        <v>-1.1531519999999986</v>
      </c>
      <c r="AC242">
        <v>0.80252532012671218</v>
      </c>
      <c r="AD242">
        <v>-1.1531519999999986</v>
      </c>
      <c r="AE242">
        <v>44.967500000000001</v>
      </c>
      <c r="AF242">
        <f t="shared" si="29"/>
        <v>0.1110000000000079</v>
      </c>
      <c r="AG242">
        <f t="shared" si="30"/>
        <v>44.967500000000001</v>
      </c>
    </row>
    <row r="243" spans="28:33" x14ac:dyDescent="0.25">
      <c r="AB243">
        <v>-1.2171519999999987</v>
      </c>
      <c r="AC243">
        <v>0.80904054579290607</v>
      </c>
      <c r="AD243">
        <v>-1.2171519999999987</v>
      </c>
      <c r="AE243">
        <v>45.1693</v>
      </c>
      <c r="AF243">
        <f t="shared" si="29"/>
        <v>0.1005000000000079</v>
      </c>
      <c r="AG243">
        <f t="shared" si="30"/>
        <v>45.1693</v>
      </c>
    </row>
    <row r="244" spans="28:33" x14ac:dyDescent="0.25">
      <c r="AB244">
        <v>-1.2811519999999987</v>
      </c>
      <c r="AC244">
        <v>0.78870917182765343</v>
      </c>
      <c r="AD244">
        <v>-1.2811519999999987</v>
      </c>
      <c r="AE244">
        <v>44.534700000000001</v>
      </c>
      <c r="AF244">
        <f t="shared" si="29"/>
        <v>9.0000000000007907E-2</v>
      </c>
      <c r="AG244">
        <f t="shared" si="30"/>
        <v>44.534700000000001</v>
      </c>
    </row>
    <row r="245" spans="28:33" x14ac:dyDescent="0.25">
      <c r="AB245">
        <v>-1.3451519999999988</v>
      </c>
      <c r="AC245">
        <v>0.80533162690766358</v>
      </c>
      <c r="AD245">
        <v>-1.3451519999999988</v>
      </c>
      <c r="AE245">
        <v>45.054600000000001</v>
      </c>
      <c r="AF245">
        <f t="shared" si="29"/>
        <v>7.9500000000007912E-2</v>
      </c>
      <c r="AG245">
        <f t="shared" si="30"/>
        <v>45.054600000000001</v>
      </c>
    </row>
    <row r="246" spans="28:33" x14ac:dyDescent="0.25">
      <c r="AB246">
        <v>-1.4091519999999988</v>
      </c>
      <c r="AC246">
        <v>0.7968077308986885</v>
      </c>
      <c r="AD246">
        <v>-1.4091519999999988</v>
      </c>
      <c r="AE246">
        <v>44.789200000000001</v>
      </c>
      <c r="AF246">
        <f t="shared" si="29"/>
        <v>6.9000000000007916E-2</v>
      </c>
      <c r="AG246">
        <f t="shared" si="30"/>
        <v>44.789200000000001</v>
      </c>
    </row>
    <row r="247" spans="28:33" x14ac:dyDescent="0.25">
      <c r="AB247">
        <v>-1.4731519999999989</v>
      </c>
      <c r="AC247">
        <v>0.8096174898634545</v>
      </c>
      <c r="AD247">
        <v>-1.4731519999999989</v>
      </c>
      <c r="AE247">
        <v>45.187100000000001</v>
      </c>
      <c r="AF247">
        <f t="shared" si="29"/>
        <v>5.8500000000007914E-2</v>
      </c>
      <c r="AG247">
        <f t="shared" si="30"/>
        <v>45.187100000000001</v>
      </c>
    </row>
    <row r="248" spans="28:33" x14ac:dyDescent="0.25">
      <c r="AB248">
        <v>-1.537151999999999</v>
      </c>
      <c r="AC248">
        <v>0.76789777699982487</v>
      </c>
      <c r="AD248">
        <v>-1.537151999999999</v>
      </c>
      <c r="AE248">
        <v>43.87</v>
      </c>
      <c r="AF248">
        <f t="shared" si="29"/>
        <v>4.8000000000007911E-2</v>
      </c>
      <c r="AG248">
        <f t="shared" si="30"/>
        <v>43.87</v>
      </c>
    </row>
    <row r="249" spans="28:33" x14ac:dyDescent="0.25">
      <c r="AB249">
        <v>-1.601151999999999</v>
      </c>
      <c r="AC249">
        <v>0.79408520306024744</v>
      </c>
      <c r="AD249">
        <v>-1.601151999999999</v>
      </c>
      <c r="AE249">
        <v>44.703899999999997</v>
      </c>
      <c r="AF249">
        <f t="shared" si="29"/>
        <v>3.7500000000007909E-2</v>
      </c>
      <c r="AG249">
        <f t="shared" si="30"/>
        <v>44.703899999999997</v>
      </c>
    </row>
    <row r="250" spans="28:33" x14ac:dyDescent="0.25">
      <c r="AB250">
        <v>-1.6651519999999991</v>
      </c>
      <c r="AC250">
        <v>0.79360092912079805</v>
      </c>
      <c r="AD250">
        <v>-1.6651519999999991</v>
      </c>
      <c r="AE250">
        <v>44.688699999999997</v>
      </c>
      <c r="AF250">
        <f t="shared" si="29"/>
        <v>2.7000000000007907E-2</v>
      </c>
      <c r="AG250">
        <f t="shared" si="30"/>
        <v>44.688699999999997</v>
      </c>
    </row>
    <row r="251" spans="28:33" x14ac:dyDescent="0.25">
      <c r="AB251">
        <v>-1.7291519999999991</v>
      </c>
      <c r="AC251">
        <v>0.76575587463482941</v>
      </c>
      <c r="AD251">
        <v>-1.7291519999999991</v>
      </c>
      <c r="AE251">
        <v>43.800699999999999</v>
      </c>
      <c r="AF251">
        <f t="shared" si="29"/>
        <v>1.6500000000007904E-2</v>
      </c>
      <c r="AG251">
        <f t="shared" si="30"/>
        <v>43.800699999999999</v>
      </c>
    </row>
    <row r="252" spans="28:33" x14ac:dyDescent="0.25">
      <c r="AB252">
        <v>-1.7931519999999992</v>
      </c>
      <c r="AC252">
        <v>0.7543463496568602</v>
      </c>
      <c r="AD252">
        <v>-1.7931519999999992</v>
      </c>
      <c r="AE252">
        <v>43.428699999999999</v>
      </c>
      <c r="AF252">
        <f t="shared" si="29"/>
        <v>6.0000000000079035E-3</v>
      </c>
      <c r="AG252">
        <f t="shared" si="30"/>
        <v>43.428699999999999</v>
      </c>
    </row>
    <row r="253" spans="28:33" x14ac:dyDescent="0.25">
      <c r="AB253">
        <v>-1.8571519999999992</v>
      </c>
      <c r="AC253">
        <v>0.77145743591182703</v>
      </c>
      <c r="AD253">
        <v>-1.8571519999999992</v>
      </c>
      <c r="AE253">
        <v>43.9848</v>
      </c>
      <c r="AF253">
        <f t="shared" si="29"/>
        <v>-4.4999999999920971E-3</v>
      </c>
      <c r="AG253">
        <f t="shared" si="30"/>
        <v>43.9848</v>
      </c>
    </row>
    <row r="254" spans="28:33" x14ac:dyDescent="0.25">
      <c r="AB254">
        <v>-1.9211519999999993</v>
      </c>
      <c r="AC254">
        <v>0.76507699056120715</v>
      </c>
      <c r="AD254">
        <v>-1.9211519999999993</v>
      </c>
      <c r="AE254">
        <v>43.778700000000001</v>
      </c>
      <c r="AF254">
        <f t="shared" si="29"/>
        <v>-1.4999999999992098E-2</v>
      </c>
      <c r="AG254">
        <f t="shared" si="30"/>
        <v>43.778700000000001</v>
      </c>
    </row>
    <row r="255" spans="28:33" x14ac:dyDescent="0.25">
      <c r="AB255">
        <v>-1.9852799999999995</v>
      </c>
      <c r="AC255">
        <v>0.75290313734950642</v>
      </c>
      <c r="AD255">
        <v>-1.9852799999999995</v>
      </c>
      <c r="AE255">
        <v>43.381300000000003</v>
      </c>
      <c r="AF255">
        <f t="shared" si="29"/>
        <v>-2.5499999999992098E-2</v>
      </c>
      <c r="AG255">
        <f t="shared" si="30"/>
        <v>43.381300000000003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4"/>
  <sheetViews>
    <sheetView zoomScale="91" zoomScaleNormal="91" workbookViewId="0">
      <selection activeCell="M18" sqref="M18"/>
    </sheetView>
  </sheetViews>
  <sheetFormatPr defaultRowHeight="15" x14ac:dyDescent="0.25"/>
  <sheetData>
    <row r="2" spans="1:2" x14ac:dyDescent="0.25">
      <c r="B2">
        <v>1.5</v>
      </c>
    </row>
    <row r="4" spans="1:2" x14ac:dyDescent="0.25">
      <c r="A4">
        <v>0</v>
      </c>
      <c r="B4">
        <f>EXP(-A4/B$2)</f>
        <v>1</v>
      </c>
    </row>
    <row r="5" spans="1:2" x14ac:dyDescent="0.25">
      <c r="A5">
        <v>0.05</v>
      </c>
      <c r="B5">
        <f t="shared" ref="B5:B24" si="0">EXP(-A5/B$2)</f>
        <v>0.9672161004820059</v>
      </c>
    </row>
    <row r="6" spans="1:2" x14ac:dyDescent="0.25">
      <c r="A6">
        <v>0.1</v>
      </c>
      <c r="B6">
        <f t="shared" si="0"/>
        <v>0.93550698503161778</v>
      </c>
    </row>
    <row r="7" spans="1:2" x14ac:dyDescent="0.25">
      <c r="A7">
        <v>0.15</v>
      </c>
      <c r="B7">
        <f t="shared" si="0"/>
        <v>0.90483741803595963</v>
      </c>
    </row>
    <row r="8" spans="1:2" x14ac:dyDescent="0.25">
      <c r="A8">
        <v>0.2</v>
      </c>
      <c r="B8">
        <f t="shared" si="0"/>
        <v>0.87517331904294748</v>
      </c>
    </row>
    <row r="9" spans="1:2" x14ac:dyDescent="0.25">
      <c r="A9">
        <v>0.25</v>
      </c>
      <c r="B9">
        <f t="shared" si="0"/>
        <v>0.84648172489061413</v>
      </c>
    </row>
    <row r="10" spans="1:2" x14ac:dyDescent="0.25">
      <c r="A10">
        <v>0.3</v>
      </c>
      <c r="B10">
        <f t="shared" si="0"/>
        <v>0.81873075307798182</v>
      </c>
    </row>
    <row r="11" spans="1:2" x14ac:dyDescent="0.25">
      <c r="A11">
        <v>0.35</v>
      </c>
      <c r="B11">
        <f t="shared" si="0"/>
        <v>0.79188956633678165</v>
      </c>
    </row>
    <row r="12" spans="1:2" x14ac:dyDescent="0.25">
      <c r="A12">
        <v>0.4</v>
      </c>
      <c r="B12">
        <f t="shared" si="0"/>
        <v>0.76592833836464869</v>
      </c>
    </row>
    <row r="13" spans="1:2" x14ac:dyDescent="0.25">
      <c r="A13">
        <v>0.45</v>
      </c>
      <c r="B13">
        <f t="shared" si="0"/>
        <v>0.74081822068171788</v>
      </c>
    </row>
    <row r="14" spans="1:2" x14ac:dyDescent="0.25">
      <c r="A14">
        <v>0.5</v>
      </c>
      <c r="B14">
        <f t="shared" si="0"/>
        <v>0.71653131057378927</v>
      </c>
    </row>
    <row r="15" spans="1:2" x14ac:dyDescent="0.25">
      <c r="A15">
        <v>0.55000000000000004</v>
      </c>
      <c r="B15">
        <f t="shared" si="0"/>
        <v>0.69304062008644152</v>
      </c>
    </row>
    <row r="16" spans="1:2" x14ac:dyDescent="0.25">
      <c r="A16">
        <v>0.6</v>
      </c>
      <c r="B16">
        <f t="shared" si="0"/>
        <v>0.67032004603563933</v>
      </c>
    </row>
    <row r="17" spans="1:2" x14ac:dyDescent="0.25">
      <c r="A17">
        <v>0.65</v>
      </c>
      <c r="B17">
        <f t="shared" si="0"/>
        <v>0.64834434100150973</v>
      </c>
    </row>
    <row r="18" spans="1:2" x14ac:dyDescent="0.25">
      <c r="A18">
        <v>0.7</v>
      </c>
      <c r="B18">
        <f t="shared" si="0"/>
        <v>0.62708908527305618</v>
      </c>
    </row>
    <row r="19" spans="1:2" x14ac:dyDescent="0.25">
      <c r="A19">
        <v>0.75</v>
      </c>
      <c r="B19">
        <f t="shared" si="0"/>
        <v>0.60653065971263342</v>
      </c>
    </row>
    <row r="20" spans="1:2" x14ac:dyDescent="0.25">
      <c r="A20">
        <v>0.8</v>
      </c>
      <c r="B20">
        <f t="shared" si="0"/>
        <v>0.58664621951003182</v>
      </c>
    </row>
    <row r="21" spans="1:2" x14ac:dyDescent="0.25">
      <c r="A21">
        <v>0.85</v>
      </c>
      <c r="B21">
        <f t="shared" si="0"/>
        <v>0.56741366879700383</v>
      </c>
    </row>
    <row r="22" spans="1:2" x14ac:dyDescent="0.25">
      <c r="A22">
        <v>0.9</v>
      </c>
      <c r="B22">
        <f t="shared" si="0"/>
        <v>0.54881163609402639</v>
      </c>
    </row>
    <row r="23" spans="1:2" x14ac:dyDescent="0.25">
      <c r="A23">
        <v>0.95</v>
      </c>
      <c r="B23">
        <f t="shared" si="0"/>
        <v>0.53081945056201396</v>
      </c>
    </row>
    <row r="24" spans="1:2" x14ac:dyDescent="0.25">
      <c r="A24">
        <v>1</v>
      </c>
      <c r="B24">
        <f t="shared" si="0"/>
        <v>0.51341711903259202</v>
      </c>
    </row>
    <row r="25" spans="1:2" x14ac:dyDescent="0.25">
      <c r="A25">
        <v>1.05</v>
      </c>
      <c r="B25">
        <f>EXP(-A25/B$2)</f>
        <v>0.49658530379140947</v>
      </c>
    </row>
    <row r="26" spans="1:2" x14ac:dyDescent="0.25">
      <c r="A26">
        <v>1.1000000000000001</v>
      </c>
      <c r="B26">
        <f>EXP(-A26/B$2)</f>
        <v>0.48030530108979935</v>
      </c>
    </row>
    <row r="27" spans="1:2" x14ac:dyDescent="0.25">
      <c r="A27">
        <v>1.1499999999999999</v>
      </c>
      <c r="B27">
        <f t="shared" ref="B27:B90" si="1">EXP(-A27/B$2)</f>
        <v>0.46455902036091151</v>
      </c>
    </row>
    <row r="28" spans="1:2" x14ac:dyDescent="0.25">
      <c r="A28">
        <v>1.2</v>
      </c>
      <c r="B28">
        <f t="shared" si="1"/>
        <v>0.44932896411722162</v>
      </c>
    </row>
    <row r="29" spans="1:2" x14ac:dyDescent="0.25">
      <c r="A29">
        <v>1.25</v>
      </c>
      <c r="B29">
        <f t="shared" si="1"/>
        <v>0.4345982085070782</v>
      </c>
    </row>
    <row r="30" spans="1:2" x14ac:dyDescent="0.25">
      <c r="A30">
        <v>1.3</v>
      </c>
      <c r="B30">
        <f t="shared" si="1"/>
        <v>0.4203503845086819</v>
      </c>
    </row>
    <row r="31" spans="1:2" x14ac:dyDescent="0.25">
      <c r="A31">
        <v>1.35</v>
      </c>
      <c r="B31">
        <f t="shared" si="1"/>
        <v>0.40656965974059911</v>
      </c>
    </row>
    <row r="32" spans="1:2" x14ac:dyDescent="0.25">
      <c r="A32">
        <v>1.4</v>
      </c>
      <c r="B32">
        <f t="shared" si="1"/>
        <v>0.39324072086859829</v>
      </c>
    </row>
    <row r="33" spans="1:2" x14ac:dyDescent="0.25">
      <c r="A33">
        <v>1.45</v>
      </c>
      <c r="B33">
        <f t="shared" si="1"/>
        <v>0.38034875658925854</v>
      </c>
    </row>
    <row r="34" spans="1:2" x14ac:dyDescent="0.25">
      <c r="A34">
        <v>1.5</v>
      </c>
      <c r="B34">
        <f t="shared" si="1"/>
        <v>0.36787944117144233</v>
      </c>
    </row>
    <row r="35" spans="1:2" x14ac:dyDescent="0.25">
      <c r="A35">
        <v>1.55</v>
      </c>
      <c r="B35">
        <f t="shared" si="1"/>
        <v>0.35581891853734188</v>
      </c>
    </row>
    <row r="36" spans="1:2" x14ac:dyDescent="0.25">
      <c r="A36">
        <v>1.6</v>
      </c>
      <c r="B36">
        <f t="shared" si="1"/>
        <v>0.34415378686541237</v>
      </c>
    </row>
    <row r="37" spans="1:2" x14ac:dyDescent="0.25">
      <c r="A37">
        <v>1.65</v>
      </c>
      <c r="B37">
        <f t="shared" si="1"/>
        <v>0.33287108369807961</v>
      </c>
    </row>
    <row r="38" spans="1:2" x14ac:dyDescent="0.25">
      <c r="A38">
        <v>1.7</v>
      </c>
      <c r="B38">
        <f t="shared" si="1"/>
        <v>0.32195827153767592</v>
      </c>
    </row>
    <row r="39" spans="1:2" x14ac:dyDescent="0.25">
      <c r="A39">
        <v>1.75</v>
      </c>
      <c r="B39">
        <f t="shared" si="1"/>
        <v>0.31140322391459768</v>
      </c>
    </row>
    <row r="40" spans="1:2" x14ac:dyDescent="0.25">
      <c r="A40">
        <v>1.8</v>
      </c>
      <c r="B40">
        <f t="shared" si="1"/>
        <v>0.30119421191220214</v>
      </c>
    </row>
    <row r="41" spans="1:2" x14ac:dyDescent="0.25">
      <c r="A41">
        <v>1.85</v>
      </c>
      <c r="B41">
        <f t="shared" si="1"/>
        <v>0.29131989113347101</v>
      </c>
    </row>
    <row r="42" spans="1:2" x14ac:dyDescent="0.25">
      <c r="A42">
        <v>1.9</v>
      </c>
      <c r="B42">
        <f t="shared" si="1"/>
        <v>0.28176928909495835</v>
      </c>
    </row>
    <row r="43" spans="1:2" x14ac:dyDescent="0.25">
      <c r="A43">
        <v>1.95</v>
      </c>
      <c r="B43">
        <f t="shared" si="1"/>
        <v>0.27253179303401259</v>
      </c>
    </row>
    <row r="44" spans="1:2" x14ac:dyDescent="0.25">
      <c r="A44">
        <v>2</v>
      </c>
      <c r="B44">
        <f t="shared" si="1"/>
        <v>0.26359713811572677</v>
      </c>
    </row>
    <row r="45" spans="1:2" x14ac:dyDescent="0.25">
      <c r="A45">
        <v>2.0499999999999998</v>
      </c>
      <c r="B45">
        <f t="shared" si="1"/>
        <v>0.25495539602651002</v>
      </c>
    </row>
    <row r="46" spans="1:2" x14ac:dyDescent="0.25">
      <c r="A46">
        <v>2.1</v>
      </c>
      <c r="B46">
        <f t="shared" si="1"/>
        <v>0.24659696394160643</v>
      </c>
    </row>
    <row r="47" spans="1:2" x14ac:dyDescent="0.25">
      <c r="A47">
        <v>2.15</v>
      </c>
      <c r="B47">
        <f t="shared" si="1"/>
        <v>0.23851255385430242</v>
      </c>
    </row>
    <row r="48" spans="1:2" x14ac:dyDescent="0.25">
      <c r="A48">
        <v>2.2000000000000002</v>
      </c>
      <c r="B48">
        <f t="shared" si="1"/>
        <v>0.2306931822549628</v>
      </c>
    </row>
    <row r="49" spans="1:2" x14ac:dyDescent="0.25">
      <c r="A49">
        <v>2.25</v>
      </c>
      <c r="B49">
        <f t="shared" si="1"/>
        <v>0.22313016014842982</v>
      </c>
    </row>
    <row r="50" spans="1:2" x14ac:dyDescent="0.25">
      <c r="A50">
        <v>2.2999999999999998</v>
      </c>
      <c r="B50">
        <f t="shared" si="1"/>
        <v>0.21581508339868979</v>
      </c>
    </row>
    <row r="51" spans="1:2" x14ac:dyDescent="0.25">
      <c r="A51">
        <v>2.35</v>
      </c>
      <c r="B51">
        <f t="shared" si="1"/>
        <v>0.20873982339007963</v>
      </c>
    </row>
    <row r="52" spans="1:2" x14ac:dyDescent="0.25">
      <c r="A52">
        <v>2.4</v>
      </c>
      <c r="B52">
        <f t="shared" si="1"/>
        <v>0.20189651799465544</v>
      </c>
    </row>
    <row r="53" spans="1:2" x14ac:dyDescent="0.25">
      <c r="A53">
        <v>2.4500000000000002</v>
      </c>
      <c r="B53">
        <f t="shared" si="1"/>
        <v>0.1952775628356857</v>
      </c>
    </row>
    <row r="54" spans="1:2" x14ac:dyDescent="0.25">
      <c r="A54">
        <v>2.5</v>
      </c>
      <c r="B54">
        <f t="shared" si="1"/>
        <v>0.18887560283756183</v>
      </c>
    </row>
    <row r="55" spans="1:2" x14ac:dyDescent="0.25">
      <c r="A55">
        <v>2.5499999999999998</v>
      </c>
      <c r="B55">
        <f t="shared" si="1"/>
        <v>0.18268352405273466</v>
      </c>
    </row>
    <row r="56" spans="1:2" x14ac:dyDescent="0.25">
      <c r="A56">
        <v>2.6</v>
      </c>
      <c r="B56">
        <f t="shared" si="1"/>
        <v>0.17669444575659674</v>
      </c>
    </row>
    <row r="57" spans="1:2" x14ac:dyDescent="0.25">
      <c r="A57">
        <v>2.65</v>
      </c>
      <c r="B57">
        <f t="shared" si="1"/>
        <v>0.17090171280152483</v>
      </c>
    </row>
    <row r="58" spans="1:2" x14ac:dyDescent="0.25">
      <c r="A58">
        <v>2.7</v>
      </c>
      <c r="B58">
        <f t="shared" si="1"/>
        <v>0.16529888822158653</v>
      </c>
    </row>
    <row r="59" spans="1:2" x14ac:dyDescent="0.25">
      <c r="A59">
        <v>2.75</v>
      </c>
      <c r="B59">
        <f t="shared" si="1"/>
        <v>0.15987974607969391</v>
      </c>
    </row>
    <row r="60" spans="1:2" x14ac:dyDescent="0.25">
      <c r="A60">
        <v>2.8</v>
      </c>
      <c r="B60">
        <f t="shared" si="1"/>
        <v>0.15463826454925483</v>
      </c>
    </row>
    <row r="61" spans="1:2" x14ac:dyDescent="0.25">
      <c r="A61">
        <v>2.85</v>
      </c>
      <c r="B61">
        <f t="shared" si="1"/>
        <v>0.14956861922263504</v>
      </c>
    </row>
    <row r="62" spans="1:2" x14ac:dyDescent="0.25">
      <c r="A62">
        <v>2.9</v>
      </c>
      <c r="B62">
        <f t="shared" si="1"/>
        <v>0.14466517663899506</v>
      </c>
    </row>
    <row r="63" spans="1:2" x14ac:dyDescent="0.25">
      <c r="A63">
        <v>2.95</v>
      </c>
      <c r="B63">
        <f t="shared" si="1"/>
        <v>0.13992248802430937</v>
      </c>
    </row>
    <row r="64" spans="1:2" x14ac:dyDescent="0.25">
      <c r="A64">
        <v>3</v>
      </c>
      <c r="B64">
        <f t="shared" si="1"/>
        <v>0.1353352832366127</v>
      </c>
    </row>
    <row r="65" spans="1:2" x14ac:dyDescent="0.25">
      <c r="A65">
        <v>3.05</v>
      </c>
      <c r="B65">
        <f t="shared" si="1"/>
        <v>0.13089846490974433</v>
      </c>
    </row>
    <row r="66" spans="1:2" x14ac:dyDescent="0.25">
      <c r="A66">
        <v>3.1</v>
      </c>
      <c r="B66">
        <f t="shared" si="1"/>
        <v>0.12660710278908355</v>
      </c>
    </row>
    <row r="67" spans="1:2" x14ac:dyDescent="0.25">
      <c r="A67">
        <v>3.15</v>
      </c>
      <c r="B67">
        <f t="shared" si="1"/>
        <v>0.12245642825298191</v>
      </c>
    </row>
    <row r="68" spans="1:2" x14ac:dyDescent="0.25">
      <c r="A68">
        <v>3.2</v>
      </c>
      <c r="B68">
        <f t="shared" si="1"/>
        <v>0.11844182901380371</v>
      </c>
    </row>
    <row r="69" spans="1:2" x14ac:dyDescent="0.25">
      <c r="A69">
        <v>3.25</v>
      </c>
      <c r="B69">
        <f t="shared" si="1"/>
        <v>0.11455884399268773</v>
      </c>
    </row>
    <row r="70" spans="1:2" x14ac:dyDescent="0.25">
      <c r="A70">
        <v>3.3</v>
      </c>
      <c r="B70">
        <f t="shared" si="1"/>
        <v>0.11080315836233391</v>
      </c>
    </row>
    <row r="71" spans="1:2" x14ac:dyDescent="0.25">
      <c r="A71">
        <v>3.35</v>
      </c>
      <c r="B71">
        <f t="shared" si="1"/>
        <v>0.10717059875230674</v>
      </c>
    </row>
    <row r="72" spans="1:2" x14ac:dyDescent="0.25">
      <c r="A72">
        <v>3.4</v>
      </c>
      <c r="B72">
        <f t="shared" si="1"/>
        <v>0.10365712861152786</v>
      </c>
    </row>
    <row r="73" spans="1:2" x14ac:dyDescent="0.25">
      <c r="A73">
        <v>3.45</v>
      </c>
      <c r="B73">
        <f t="shared" si="1"/>
        <v>0.10025884372280371</v>
      </c>
    </row>
    <row r="74" spans="1:2" x14ac:dyDescent="0.25">
      <c r="A74">
        <v>3.5</v>
      </c>
      <c r="B74">
        <f t="shared" si="1"/>
        <v>9.6971967864405054E-2</v>
      </c>
    </row>
    <row r="75" spans="1:2" x14ac:dyDescent="0.25">
      <c r="A75">
        <v>3.55</v>
      </c>
      <c r="B75">
        <f t="shared" si="1"/>
        <v>9.3792848613876253E-2</v>
      </c>
    </row>
    <row r="76" spans="1:2" x14ac:dyDescent="0.25">
      <c r="A76">
        <v>3.6</v>
      </c>
      <c r="B76">
        <f t="shared" si="1"/>
        <v>9.0717953289412512E-2</v>
      </c>
    </row>
    <row r="77" spans="1:2" x14ac:dyDescent="0.25">
      <c r="A77">
        <v>3.65</v>
      </c>
      <c r="B77">
        <f t="shared" si="1"/>
        <v>8.7743865024294335E-2</v>
      </c>
    </row>
    <row r="78" spans="1:2" x14ac:dyDescent="0.25">
      <c r="A78">
        <v>3.7</v>
      </c>
      <c r="B78">
        <f t="shared" si="1"/>
        <v>8.4867278970017404E-2</v>
      </c>
    </row>
    <row r="79" spans="1:2" x14ac:dyDescent="0.25">
      <c r="A79">
        <v>3.75</v>
      </c>
      <c r="B79">
        <f t="shared" si="1"/>
        <v>8.20849986238988E-2</v>
      </c>
    </row>
    <row r="80" spans="1:2" x14ac:dyDescent="0.25">
      <c r="A80">
        <v>3.8</v>
      </c>
      <c r="B80">
        <f t="shared" si="1"/>
        <v>7.9393932277078222E-2</v>
      </c>
    </row>
    <row r="81" spans="1:2" x14ac:dyDescent="0.25">
      <c r="A81">
        <v>3.85</v>
      </c>
      <c r="B81">
        <f t="shared" si="1"/>
        <v>7.6791089578968033E-2</v>
      </c>
    </row>
    <row r="82" spans="1:2" x14ac:dyDescent="0.25">
      <c r="A82">
        <v>3.9</v>
      </c>
      <c r="B82">
        <f t="shared" si="1"/>
        <v>7.4273578214333877E-2</v>
      </c>
    </row>
    <row r="83" spans="1:2" x14ac:dyDescent="0.25">
      <c r="A83">
        <v>3.95</v>
      </c>
      <c r="B83">
        <f t="shared" si="1"/>
        <v>7.1838600689313289E-2</v>
      </c>
    </row>
    <row r="84" spans="1:2" x14ac:dyDescent="0.25">
      <c r="A84">
        <v>4</v>
      </c>
      <c r="B84">
        <f t="shared" si="1"/>
        <v>6.9483451222801543E-2</v>
      </c>
    </row>
    <row r="85" spans="1:2" x14ac:dyDescent="0.25">
      <c r="A85">
        <v>4.05</v>
      </c>
      <c r="B85">
        <f t="shared" si="1"/>
        <v>6.7205512739749784E-2</v>
      </c>
    </row>
    <row r="86" spans="1:2" x14ac:dyDescent="0.25">
      <c r="A86">
        <v>4.0999999999999996</v>
      </c>
      <c r="B86">
        <f t="shared" si="1"/>
        <v>6.5002253963034565E-2</v>
      </c>
    </row>
    <row r="87" spans="1:2" x14ac:dyDescent="0.25">
      <c r="A87">
        <v>4.1500000000000004</v>
      </c>
      <c r="B87">
        <f t="shared" si="1"/>
        <v>6.2871226600667254E-2</v>
      </c>
    </row>
    <row r="88" spans="1:2" x14ac:dyDescent="0.25">
      <c r="A88">
        <v>4.2</v>
      </c>
      <c r="B88">
        <f t="shared" si="1"/>
        <v>6.0810062625217952E-2</v>
      </c>
    </row>
    <row r="89" spans="1:2" x14ac:dyDescent="0.25">
      <c r="A89">
        <v>4.25</v>
      </c>
      <c r="B89">
        <f t="shared" si="1"/>
        <v>5.8816471642429882E-2</v>
      </c>
    </row>
    <row r="90" spans="1:2" x14ac:dyDescent="0.25">
      <c r="A90">
        <v>4.3</v>
      </c>
      <c r="B90">
        <f t="shared" si="1"/>
        <v>5.6888238346101516E-2</v>
      </c>
    </row>
    <row r="91" spans="1:2" x14ac:dyDescent="0.25">
      <c r="A91">
        <v>4.3499999999999996</v>
      </c>
      <c r="B91">
        <f t="shared" ref="B91:B154" si="2">EXP(-A91/B$2)</f>
        <v>5.5023220056407231E-2</v>
      </c>
    </row>
    <row r="92" spans="1:2" x14ac:dyDescent="0.25">
      <c r="A92">
        <v>4.4000000000000004</v>
      </c>
      <c r="B92">
        <f t="shared" si="2"/>
        <v>5.3219344338921483E-2</v>
      </c>
    </row>
    <row r="93" spans="1:2" x14ac:dyDescent="0.25">
      <c r="A93">
        <v>4.45</v>
      </c>
      <c r="B93">
        <f t="shared" si="2"/>
        <v>5.1474606701700759E-2</v>
      </c>
    </row>
    <row r="94" spans="1:2" x14ac:dyDescent="0.25">
      <c r="A94">
        <v>4.5</v>
      </c>
      <c r="B94">
        <f t="shared" si="2"/>
        <v>4.9787068367863944E-2</v>
      </c>
    </row>
    <row r="95" spans="1:2" x14ac:dyDescent="0.25">
      <c r="A95">
        <v>4.55</v>
      </c>
      <c r="B95">
        <f t="shared" si="2"/>
        <v>4.8154854121196397E-2</v>
      </c>
    </row>
    <row r="96" spans="1:2" x14ac:dyDescent="0.25">
      <c r="A96">
        <v>4.5999999999999996</v>
      </c>
      <c r="B96">
        <f t="shared" si="2"/>
        <v>4.6576150222383435E-2</v>
      </c>
    </row>
    <row r="97" spans="1:2" x14ac:dyDescent="0.25">
      <c r="A97">
        <v>4.6500000000000004</v>
      </c>
      <c r="B97">
        <f t="shared" si="2"/>
        <v>4.5049202393557801E-2</v>
      </c>
    </row>
    <row r="98" spans="1:2" x14ac:dyDescent="0.25">
      <c r="A98">
        <v>4.7</v>
      </c>
      <c r="B98">
        <f t="shared" si="2"/>
        <v>4.357231386892163E-2</v>
      </c>
    </row>
    <row r="99" spans="1:2" x14ac:dyDescent="0.25">
      <c r="A99">
        <v>4.75</v>
      </c>
      <c r="B99">
        <f t="shared" si="2"/>
        <v>4.2143843509276406E-2</v>
      </c>
    </row>
    <row r="100" spans="1:2" x14ac:dyDescent="0.25">
      <c r="A100">
        <v>4.8</v>
      </c>
      <c r="B100">
        <f t="shared" si="2"/>
        <v>4.0762203978366225E-2</v>
      </c>
    </row>
    <row r="101" spans="1:2" x14ac:dyDescent="0.25">
      <c r="A101">
        <v>4.8499999999999996</v>
      </c>
      <c r="B101">
        <f t="shared" si="2"/>
        <v>3.9425859979007494E-2</v>
      </c>
    </row>
    <row r="102" spans="1:2" x14ac:dyDescent="0.25">
      <c r="A102">
        <v>4.9000000000000004</v>
      </c>
      <c r="B102">
        <f t="shared" si="2"/>
        <v>3.8133326547045175E-2</v>
      </c>
    </row>
    <row r="103" spans="1:2" x14ac:dyDescent="0.25">
      <c r="A103">
        <v>4.95</v>
      </c>
      <c r="B103">
        <f t="shared" si="2"/>
        <v>3.6883167401239994E-2</v>
      </c>
    </row>
    <row r="104" spans="1:2" x14ac:dyDescent="0.25">
      <c r="A104">
        <v>5</v>
      </c>
      <c r="B104">
        <f t="shared" si="2"/>
        <v>3.5673993347252395E-2</v>
      </c>
    </row>
    <row r="105" spans="1:2" x14ac:dyDescent="0.25">
      <c r="A105">
        <v>5.05</v>
      </c>
      <c r="B105">
        <f t="shared" si="2"/>
        <v>3.4504460733950484E-2</v>
      </c>
    </row>
    <row r="106" spans="1:2" x14ac:dyDescent="0.25">
      <c r="A106">
        <v>5.0999999999999996</v>
      </c>
      <c r="B106">
        <f t="shared" si="2"/>
        <v>3.337326996032608E-2</v>
      </c>
    </row>
    <row r="107" spans="1:2" x14ac:dyDescent="0.25">
      <c r="A107">
        <v>5.15</v>
      </c>
      <c r="B107">
        <f t="shared" si="2"/>
        <v>3.2279164031359851E-2</v>
      </c>
    </row>
    <row r="108" spans="1:2" x14ac:dyDescent="0.25">
      <c r="A108">
        <v>5.2</v>
      </c>
      <c r="B108">
        <f t="shared" si="2"/>
        <v>3.1220927161230903E-2</v>
      </c>
    </row>
    <row r="109" spans="1:2" x14ac:dyDescent="0.25">
      <c r="A109">
        <v>5.25</v>
      </c>
      <c r="B109">
        <f t="shared" si="2"/>
        <v>3.0197383422318501E-2</v>
      </c>
    </row>
    <row r="110" spans="1:2" x14ac:dyDescent="0.25">
      <c r="A110">
        <v>5.3</v>
      </c>
      <c r="B110">
        <f t="shared" si="2"/>
        <v>2.9207395438494873E-2</v>
      </c>
    </row>
    <row r="111" spans="1:2" x14ac:dyDescent="0.25">
      <c r="A111">
        <v>5.35</v>
      </c>
      <c r="B111">
        <f t="shared" si="2"/>
        <v>2.8249863121256942E-2</v>
      </c>
    </row>
    <row r="112" spans="1:2" x14ac:dyDescent="0.25">
      <c r="A112">
        <v>5.4</v>
      </c>
      <c r="B112">
        <f t="shared" si="2"/>
        <v>2.7323722447292559E-2</v>
      </c>
    </row>
    <row r="113" spans="1:2" x14ac:dyDescent="0.25">
      <c r="A113">
        <v>5.45</v>
      </c>
      <c r="B113">
        <f t="shared" si="2"/>
        <v>2.6427944276122963E-2</v>
      </c>
    </row>
    <row r="114" spans="1:2" x14ac:dyDescent="0.25">
      <c r="A114">
        <v>5.5</v>
      </c>
      <c r="B114">
        <f t="shared" si="2"/>
        <v>2.5561533206507402E-2</v>
      </c>
    </row>
    <row r="115" spans="1:2" x14ac:dyDescent="0.25">
      <c r="A115">
        <v>5.55</v>
      </c>
      <c r="B115">
        <f t="shared" si="2"/>
        <v>2.4723526470339399E-2</v>
      </c>
    </row>
    <row r="116" spans="1:2" x14ac:dyDescent="0.25">
      <c r="A116">
        <v>5.6</v>
      </c>
      <c r="B116">
        <f t="shared" si="2"/>
        <v>2.3912992862805328E-2</v>
      </c>
    </row>
    <row r="117" spans="1:2" x14ac:dyDescent="0.25">
      <c r="A117">
        <v>5.65</v>
      </c>
      <c r="B117">
        <f t="shared" si="2"/>
        <v>2.3129031707616588E-2</v>
      </c>
    </row>
    <row r="118" spans="1:2" x14ac:dyDescent="0.25">
      <c r="A118">
        <v>5.7</v>
      </c>
      <c r="B118">
        <f t="shared" si="2"/>
        <v>2.2370771856165591E-2</v>
      </c>
    </row>
    <row r="119" spans="1:2" x14ac:dyDescent="0.25">
      <c r="A119">
        <v>5.75</v>
      </c>
      <c r="B119">
        <f t="shared" si="2"/>
        <v>2.163737071949309E-2</v>
      </c>
    </row>
    <row r="120" spans="1:2" x14ac:dyDescent="0.25">
      <c r="A120">
        <v>5.8</v>
      </c>
      <c r="B120">
        <f t="shared" si="2"/>
        <v>2.0928013331991641E-2</v>
      </c>
    </row>
    <row r="121" spans="1:2" x14ac:dyDescent="0.25">
      <c r="A121">
        <v>5.85</v>
      </c>
      <c r="B121">
        <f t="shared" si="2"/>
        <v>2.0241911445804391E-2</v>
      </c>
    </row>
    <row r="122" spans="1:2" x14ac:dyDescent="0.25">
      <c r="A122">
        <v>5.9</v>
      </c>
      <c r="B122">
        <f t="shared" si="2"/>
        <v>1.9578302654912998E-2</v>
      </c>
    </row>
    <row r="123" spans="1:2" x14ac:dyDescent="0.25">
      <c r="A123">
        <v>5.95</v>
      </c>
      <c r="B123">
        <f t="shared" si="2"/>
        <v>1.8936449547941457E-2</v>
      </c>
    </row>
    <row r="124" spans="1:2" x14ac:dyDescent="0.25">
      <c r="A124">
        <v>6</v>
      </c>
      <c r="B124">
        <f t="shared" si="2"/>
        <v>1.8315638888734179E-2</v>
      </c>
    </row>
    <row r="125" spans="1:2" x14ac:dyDescent="0.25">
      <c r="A125">
        <v>6.05</v>
      </c>
      <c r="B125">
        <f t="shared" si="2"/>
        <v>1.7715180823798055E-2</v>
      </c>
    </row>
    <row r="126" spans="1:2" x14ac:dyDescent="0.25">
      <c r="A126">
        <v>6.1</v>
      </c>
      <c r="B126">
        <f t="shared" si="2"/>
        <v>1.7134408115727567E-2</v>
      </c>
    </row>
    <row r="127" spans="1:2" x14ac:dyDescent="0.25">
      <c r="A127">
        <v>6.15</v>
      </c>
      <c r="B127">
        <f t="shared" si="2"/>
        <v>1.6572675401761237E-2</v>
      </c>
    </row>
    <row r="128" spans="1:2" x14ac:dyDescent="0.25">
      <c r="A128">
        <v>6.2</v>
      </c>
      <c r="B128">
        <f t="shared" si="2"/>
        <v>1.6029358476645567E-2</v>
      </c>
    </row>
    <row r="129" spans="1:2" x14ac:dyDescent="0.25">
      <c r="A129">
        <v>6.25</v>
      </c>
      <c r="B129">
        <f t="shared" si="2"/>
        <v>1.5503853599009314E-2</v>
      </c>
    </row>
    <row r="130" spans="1:2" x14ac:dyDescent="0.25">
      <c r="A130">
        <v>6.3</v>
      </c>
      <c r="B130">
        <f t="shared" si="2"/>
        <v>1.4995576820477703E-2</v>
      </c>
    </row>
    <row r="131" spans="1:2" x14ac:dyDescent="0.25">
      <c r="A131">
        <v>6.35</v>
      </c>
      <c r="B131">
        <f t="shared" si="2"/>
        <v>1.4503963336780803E-2</v>
      </c>
    </row>
    <row r="132" spans="1:2" x14ac:dyDescent="0.25">
      <c r="A132">
        <v>6.4</v>
      </c>
      <c r="B132">
        <f t="shared" si="2"/>
        <v>1.4028466860135112E-2</v>
      </c>
    </row>
    <row r="133" spans="1:2" x14ac:dyDescent="0.25">
      <c r="A133">
        <v>6.45</v>
      </c>
      <c r="B133">
        <f t="shared" si="2"/>
        <v>1.3568559012200934E-2</v>
      </c>
    </row>
    <row r="134" spans="1:2" x14ac:dyDescent="0.25">
      <c r="A134">
        <v>6.5</v>
      </c>
      <c r="B134">
        <f t="shared" si="2"/>
        <v>1.3123728736940968E-2</v>
      </c>
    </row>
    <row r="135" spans="1:2" x14ac:dyDescent="0.25">
      <c r="A135">
        <v>6.55</v>
      </c>
      <c r="B135">
        <f t="shared" si="2"/>
        <v>1.2693481732727684E-2</v>
      </c>
    </row>
    <row r="136" spans="1:2" x14ac:dyDescent="0.25">
      <c r="A136">
        <v>6.6</v>
      </c>
      <c r="B136">
        <f t="shared" si="2"/>
        <v>1.2277339903068448E-2</v>
      </c>
    </row>
    <row r="137" spans="1:2" x14ac:dyDescent="0.25">
      <c r="A137">
        <v>6.65</v>
      </c>
      <c r="B137">
        <f t="shared" si="2"/>
        <v>1.1874840825337983E-2</v>
      </c>
    </row>
    <row r="138" spans="1:2" x14ac:dyDescent="0.25">
      <c r="A138">
        <v>6.7</v>
      </c>
      <c r="B138">
        <f t="shared" si="2"/>
        <v>1.1485537236927929E-2</v>
      </c>
    </row>
    <row r="139" spans="1:2" x14ac:dyDescent="0.25">
      <c r="A139">
        <v>6.75</v>
      </c>
      <c r="B139">
        <f t="shared" si="2"/>
        <v>1.1108996538242306E-2</v>
      </c>
    </row>
    <row r="140" spans="1:2" x14ac:dyDescent="0.25">
      <c r="A140">
        <v>6.8</v>
      </c>
      <c r="B140">
        <f t="shared" si="2"/>
        <v>1.0744800311986828E-2</v>
      </c>
    </row>
    <row r="141" spans="1:2" x14ac:dyDescent="0.25">
      <c r="A141">
        <v>6.85</v>
      </c>
      <c r="B141">
        <f t="shared" si="2"/>
        <v>1.0392543858217741E-2</v>
      </c>
    </row>
    <row r="142" spans="1:2" x14ac:dyDescent="0.25">
      <c r="A142">
        <v>6.9</v>
      </c>
      <c r="B142">
        <f t="shared" si="2"/>
        <v>1.0051835744633576E-2</v>
      </c>
    </row>
    <row r="143" spans="1:2" x14ac:dyDescent="0.25">
      <c r="A143">
        <v>6.95</v>
      </c>
      <c r="B143">
        <f t="shared" si="2"/>
        <v>9.7222973716101294E-3</v>
      </c>
    </row>
    <row r="144" spans="1:2" x14ac:dyDescent="0.25">
      <c r="A144">
        <v>7</v>
      </c>
      <c r="B144">
        <f t="shared" si="2"/>
        <v>9.4035625514952061E-3</v>
      </c>
    </row>
    <row r="145" spans="1:2" x14ac:dyDescent="0.25">
      <c r="A145">
        <v>7.05</v>
      </c>
      <c r="B145">
        <f t="shared" si="2"/>
        <v>9.0952771016958155E-3</v>
      </c>
    </row>
    <row r="146" spans="1:2" x14ac:dyDescent="0.25">
      <c r="A146">
        <v>7.1</v>
      </c>
      <c r="B146">
        <f t="shared" si="2"/>
        <v>8.7970984511055086E-3</v>
      </c>
    </row>
    <row r="147" spans="1:2" x14ac:dyDescent="0.25">
      <c r="A147">
        <v>7.15</v>
      </c>
      <c r="B147">
        <f t="shared" si="2"/>
        <v>8.5086952594345643E-3</v>
      </c>
    </row>
    <row r="148" spans="1:2" x14ac:dyDescent="0.25">
      <c r="A148">
        <v>7.2</v>
      </c>
      <c r="B148">
        <f t="shared" si="2"/>
        <v>8.2297470490200302E-3</v>
      </c>
    </row>
    <row r="149" spans="1:2" x14ac:dyDescent="0.25">
      <c r="A149">
        <v>7.25</v>
      </c>
      <c r="B149">
        <f t="shared" si="2"/>
        <v>7.9599438487064494E-3</v>
      </c>
    </row>
    <row r="150" spans="1:2" x14ac:dyDescent="0.25">
      <c r="A150">
        <v>7.3</v>
      </c>
      <c r="B150">
        <f t="shared" si="2"/>
        <v>7.698985849401584E-3</v>
      </c>
    </row>
    <row r="151" spans="1:2" x14ac:dyDescent="0.25">
      <c r="A151">
        <v>7.35</v>
      </c>
      <c r="B151">
        <f t="shared" si="2"/>
        <v>7.4465830709243442E-3</v>
      </c>
    </row>
    <row r="152" spans="1:2" x14ac:dyDescent="0.25">
      <c r="A152">
        <v>7.4</v>
      </c>
      <c r="B152">
        <f t="shared" si="2"/>
        <v>7.202455039774759E-3</v>
      </c>
    </row>
    <row r="153" spans="1:2" x14ac:dyDescent="0.25">
      <c r="A153">
        <v>7.45</v>
      </c>
      <c r="B153">
        <f t="shared" si="2"/>
        <v>6.9663304774679139E-3</v>
      </c>
    </row>
    <row r="154" spans="1:2" x14ac:dyDescent="0.25">
      <c r="A154">
        <v>7.5</v>
      </c>
      <c r="B154">
        <f t="shared" si="2"/>
        <v>6.737946999085467E-3</v>
      </c>
    </row>
    <row r="155" spans="1:2" x14ac:dyDescent="0.25">
      <c r="A155">
        <v>7.55</v>
      </c>
      <c r="B155">
        <f t="shared" ref="B155:B204" si="3">EXP(-A155/B$2)</f>
        <v>6.5170508217098798E-3</v>
      </c>
    </row>
    <row r="156" spans="1:2" x14ac:dyDescent="0.25">
      <c r="A156">
        <v>7.6</v>
      </c>
      <c r="B156">
        <f t="shared" si="3"/>
        <v>6.3033964824172834E-3</v>
      </c>
    </row>
    <row r="157" spans="1:2" x14ac:dyDescent="0.25">
      <c r="A157">
        <v>7.65</v>
      </c>
      <c r="B157">
        <f t="shared" si="3"/>
        <v>6.0967465655156327E-3</v>
      </c>
    </row>
    <row r="158" spans="1:2" x14ac:dyDescent="0.25">
      <c r="A158">
        <v>7.7</v>
      </c>
      <c r="B158">
        <f t="shared" si="3"/>
        <v>5.8968714387250933E-3</v>
      </c>
    </row>
    <row r="159" spans="1:2" x14ac:dyDescent="0.25">
      <c r="A159">
        <v>7.75</v>
      </c>
      <c r="B159">
        <f t="shared" si="3"/>
        <v>5.7035489980074017E-3</v>
      </c>
    </row>
    <row r="160" spans="1:2" x14ac:dyDescent="0.25">
      <c r="A160">
        <v>7.8</v>
      </c>
      <c r="B160">
        <f t="shared" si="3"/>
        <v>5.5165644207607716E-3</v>
      </c>
    </row>
    <row r="161" spans="1:2" x14ac:dyDescent="0.25">
      <c r="A161">
        <v>7.85</v>
      </c>
      <c r="B161">
        <f t="shared" si="3"/>
        <v>5.3357099271060093E-3</v>
      </c>
    </row>
    <row r="162" spans="1:2" x14ac:dyDescent="0.25">
      <c r="A162">
        <v>7.9</v>
      </c>
      <c r="B162">
        <f t="shared" si="3"/>
        <v>5.1607845489986034E-3</v>
      </c>
    </row>
    <row r="163" spans="1:2" x14ac:dyDescent="0.25">
      <c r="A163">
        <v>7.95</v>
      </c>
      <c r="B163">
        <f t="shared" si="3"/>
        <v>4.991593906910217E-3</v>
      </c>
    </row>
    <row r="164" spans="1:2" x14ac:dyDescent="0.25">
      <c r="A164">
        <v>8</v>
      </c>
      <c r="B164">
        <f t="shared" si="3"/>
        <v>4.8279499938314414E-3</v>
      </c>
    </row>
    <row r="165" spans="1:2" x14ac:dyDescent="0.25">
      <c r="A165">
        <v>8.0500000000000007</v>
      </c>
      <c r="B165">
        <f t="shared" si="3"/>
        <v>4.6696709663557679E-3</v>
      </c>
    </row>
    <row r="166" spans="1:2" x14ac:dyDescent="0.25">
      <c r="A166">
        <v>8.1</v>
      </c>
      <c r="B166">
        <f t="shared" si="3"/>
        <v>4.5165809426126703E-3</v>
      </c>
    </row>
    <row r="167" spans="1:2" x14ac:dyDescent="0.25">
      <c r="A167">
        <v>8.15</v>
      </c>
      <c r="B167">
        <f t="shared" si="3"/>
        <v>4.3685098068251662E-3</v>
      </c>
    </row>
    <row r="168" spans="1:2" x14ac:dyDescent="0.25">
      <c r="A168">
        <v>8.1999999999999993</v>
      </c>
      <c r="B168">
        <f t="shared" si="3"/>
        <v>4.2252930202748423E-3</v>
      </c>
    </row>
    <row r="169" spans="1:2" x14ac:dyDescent="0.25">
      <c r="A169">
        <v>8.25</v>
      </c>
      <c r="B169">
        <f t="shared" si="3"/>
        <v>4.0867714384640666E-3</v>
      </c>
    </row>
    <row r="170" spans="1:2" x14ac:dyDescent="0.25">
      <c r="A170">
        <v>8.3000000000000007</v>
      </c>
      <c r="B170">
        <f t="shared" si="3"/>
        <v>3.9527911342724497E-3</v>
      </c>
    </row>
    <row r="171" spans="1:2" x14ac:dyDescent="0.25">
      <c r="A171">
        <v>8.35</v>
      </c>
      <c r="B171">
        <f t="shared" si="3"/>
        <v>3.8232032269108476E-3</v>
      </c>
    </row>
    <row r="172" spans="1:2" x14ac:dyDescent="0.25">
      <c r="A172">
        <v>8.4</v>
      </c>
      <c r="B172">
        <f t="shared" si="3"/>
        <v>3.697863716482929E-3</v>
      </c>
    </row>
    <row r="173" spans="1:2" x14ac:dyDescent="0.25">
      <c r="A173">
        <v>8.4499999999999993</v>
      </c>
      <c r="B173">
        <f t="shared" si="3"/>
        <v>3.5766333239705198E-3</v>
      </c>
    </row>
    <row r="174" spans="1:2" x14ac:dyDescent="0.25">
      <c r="A174">
        <v>8.5</v>
      </c>
      <c r="B174">
        <f t="shared" si="3"/>
        <v>3.4593773364647584E-3</v>
      </c>
    </row>
    <row r="175" spans="1:2" x14ac:dyDescent="0.25">
      <c r="A175">
        <v>8.5500000000000007</v>
      </c>
      <c r="B175">
        <f t="shared" si="3"/>
        <v>3.345965457471272E-3</v>
      </c>
    </row>
    <row r="176" spans="1:2" x14ac:dyDescent="0.25">
      <c r="A176">
        <v>8.6</v>
      </c>
      <c r="B176">
        <f t="shared" si="3"/>
        <v>3.236271662122855E-3</v>
      </c>
    </row>
    <row r="177" spans="1:2" x14ac:dyDescent="0.25">
      <c r="A177">
        <v>8.65</v>
      </c>
      <c r="B177">
        <f t="shared" si="3"/>
        <v>3.1301740571388881E-3</v>
      </c>
    </row>
    <row r="178" spans="1:2" x14ac:dyDescent="0.25">
      <c r="A178">
        <v>8.6999999999999993</v>
      </c>
      <c r="B178">
        <f t="shared" si="3"/>
        <v>3.0275547453758153E-3</v>
      </c>
    </row>
    <row r="179" spans="1:2" x14ac:dyDescent="0.25">
      <c r="A179">
        <v>8.75</v>
      </c>
      <c r="B179">
        <f t="shared" si="3"/>
        <v>2.9282996948181888E-3</v>
      </c>
    </row>
    <row r="180" spans="1:2" x14ac:dyDescent="0.25">
      <c r="A180">
        <v>8.8000000000000007</v>
      </c>
      <c r="B180">
        <f t="shared" si="3"/>
        <v>2.8322986118646943E-3</v>
      </c>
    </row>
    <row r="181" spans="1:2" x14ac:dyDescent="0.25">
      <c r="A181">
        <v>8.85</v>
      </c>
      <c r="B181">
        <f t="shared" si="3"/>
        <v>2.7394448187683705E-3</v>
      </c>
    </row>
    <row r="182" spans="1:2" x14ac:dyDescent="0.25">
      <c r="A182">
        <v>8.9</v>
      </c>
      <c r="B182">
        <f t="shared" si="3"/>
        <v>2.649635135094777E-3</v>
      </c>
    </row>
    <row r="183" spans="1:2" x14ac:dyDescent="0.25">
      <c r="A183">
        <v>8.9499999999999993</v>
      </c>
      <c r="B183">
        <f t="shared" si="3"/>
        <v>2.5627697630664853E-3</v>
      </c>
    </row>
    <row r="184" spans="1:2" x14ac:dyDescent="0.25">
      <c r="A184">
        <v>9</v>
      </c>
      <c r="B184">
        <f t="shared" si="3"/>
        <v>2.4787521766663585E-3</v>
      </c>
    </row>
    <row r="185" spans="1:2" x14ac:dyDescent="0.25">
      <c r="A185">
        <v>9.0500000000000007</v>
      </c>
      <c r="B185">
        <f t="shared" si="3"/>
        <v>2.3974890143765174E-3</v>
      </c>
    </row>
    <row r="186" spans="1:2" x14ac:dyDescent="0.25">
      <c r="A186">
        <v>9.1</v>
      </c>
      <c r="B186">
        <f t="shared" si="3"/>
        <v>2.3188899754337054E-3</v>
      </c>
    </row>
    <row r="187" spans="1:2" x14ac:dyDescent="0.25">
      <c r="A187">
        <v>9.15</v>
      </c>
      <c r="B187">
        <f t="shared" si="3"/>
        <v>2.2428677194858012E-3</v>
      </c>
    </row>
    <row r="188" spans="1:2" x14ac:dyDescent="0.25">
      <c r="A188">
        <v>9.1999999999999993</v>
      </c>
      <c r="B188">
        <f t="shared" si="3"/>
        <v>2.1693377695380283E-3</v>
      </c>
    </row>
    <row r="189" spans="1:2" x14ac:dyDescent="0.25">
      <c r="A189">
        <v>9.25</v>
      </c>
      <c r="B189">
        <f t="shared" si="3"/>
        <v>2.0982184180809026E-3</v>
      </c>
    </row>
    <row r="190" spans="1:2" x14ac:dyDescent="0.25">
      <c r="A190">
        <v>9.3000000000000007</v>
      </c>
      <c r="B190">
        <f t="shared" si="3"/>
        <v>2.029430636295734E-3</v>
      </c>
    </row>
    <row r="191" spans="1:2" x14ac:dyDescent="0.25">
      <c r="A191">
        <v>9.35</v>
      </c>
      <c r="B191">
        <f t="shared" si="3"/>
        <v>1.962897986236676E-3</v>
      </c>
    </row>
    <row r="192" spans="1:2" x14ac:dyDescent="0.25">
      <c r="A192">
        <v>9.4</v>
      </c>
      <c r="B192">
        <f t="shared" si="3"/>
        <v>1.8985465358918202E-3</v>
      </c>
    </row>
    <row r="193" spans="1:2" x14ac:dyDescent="0.25">
      <c r="A193">
        <v>9.4499999999999993</v>
      </c>
      <c r="B193">
        <f t="shared" si="3"/>
        <v>1.8363047770289071E-3</v>
      </c>
    </row>
    <row r="194" spans="1:2" x14ac:dyDescent="0.25">
      <c r="A194">
        <v>9.5</v>
      </c>
      <c r="B194">
        <f t="shared" si="3"/>
        <v>1.7761035457343791E-3</v>
      </c>
    </row>
    <row r="195" spans="1:2" x14ac:dyDescent="0.25">
      <c r="A195">
        <v>9.5500000000000007</v>
      </c>
      <c r="B195">
        <f t="shared" si="3"/>
        <v>1.7178759455574689E-3</v>
      </c>
    </row>
    <row r="196" spans="1:2" x14ac:dyDescent="0.25">
      <c r="A196">
        <v>9.6</v>
      </c>
      <c r="B196">
        <f t="shared" si="3"/>
        <v>1.6615572731739354E-3</v>
      </c>
    </row>
    <row r="197" spans="1:2" x14ac:dyDescent="0.25">
      <c r="A197">
        <v>9.65</v>
      </c>
      <c r="B197">
        <f t="shared" si="3"/>
        <v>1.6070849464868075E-3</v>
      </c>
    </row>
    <row r="198" spans="1:2" x14ac:dyDescent="0.25">
      <c r="A198">
        <v>9.6999999999999993</v>
      </c>
      <c r="B198">
        <f t="shared" si="3"/>
        <v>1.5543984350843048E-3</v>
      </c>
    </row>
    <row r="199" spans="1:2" x14ac:dyDescent="0.25">
      <c r="A199">
        <v>9.75</v>
      </c>
      <c r="B199">
        <f t="shared" si="3"/>
        <v>1.5034391929775724E-3</v>
      </c>
    </row>
    <row r="200" spans="1:2" x14ac:dyDescent="0.25">
      <c r="A200">
        <v>9.8000000000000007</v>
      </c>
      <c r="B200">
        <f t="shared" si="3"/>
        <v>1.4541505935435804E-3</v>
      </c>
    </row>
    <row r="201" spans="1:2" x14ac:dyDescent="0.25">
      <c r="A201">
        <v>9.85</v>
      </c>
      <c r="B201">
        <f t="shared" si="3"/>
        <v>1.4064778666008177E-3</v>
      </c>
    </row>
    <row r="202" spans="1:2" x14ac:dyDescent="0.25">
      <c r="A202">
        <v>9.9</v>
      </c>
      <c r="B202">
        <f t="shared" si="3"/>
        <v>1.3603680375478928E-3</v>
      </c>
    </row>
    <row r="203" spans="1:2" x14ac:dyDescent="0.25">
      <c r="A203">
        <v>9.9499999999999993</v>
      </c>
      <c r="B203">
        <f t="shared" si="3"/>
        <v>1.3157698684974331E-3</v>
      </c>
    </row>
    <row r="204" spans="1:2" x14ac:dyDescent="0.25">
      <c r="A204">
        <v>10</v>
      </c>
      <c r="B204">
        <f t="shared" si="3"/>
        <v>1.2726338013398079E-3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L41"/>
  <sheetViews>
    <sheetView topLeftCell="A16" workbookViewId="0">
      <selection activeCell="K19" sqref="K19:K41"/>
    </sheetView>
  </sheetViews>
  <sheetFormatPr defaultRowHeight="15" x14ac:dyDescent="0.25"/>
  <cols>
    <col min="10" max="10" width="11" style="1" bestFit="1" customWidth="1"/>
  </cols>
  <sheetData>
    <row r="11" spans="5:12" x14ac:dyDescent="0.25">
      <c r="E11" t="s">
        <v>110</v>
      </c>
      <c r="F11" t="s">
        <v>114</v>
      </c>
      <c r="G11" s="34" t="s">
        <v>111</v>
      </c>
      <c r="I11" t="s">
        <v>118</v>
      </c>
      <c r="K11" s="34" t="s">
        <v>111</v>
      </c>
      <c r="L11" t="s">
        <v>117</v>
      </c>
    </row>
    <row r="12" spans="5:12" x14ac:dyDescent="0.25">
      <c r="F12" t="s">
        <v>113</v>
      </c>
      <c r="G12" t="s">
        <v>42</v>
      </c>
      <c r="I12" t="s">
        <v>119</v>
      </c>
      <c r="K12" t="s">
        <v>112</v>
      </c>
      <c r="L12" t="s">
        <v>116</v>
      </c>
    </row>
    <row r="17" spans="4:11" x14ac:dyDescent="0.25">
      <c r="D17">
        <v>300</v>
      </c>
    </row>
    <row r="18" spans="4:11" x14ac:dyDescent="0.25">
      <c r="D18">
        <v>-6.0766</v>
      </c>
      <c r="E18">
        <v>0.3</v>
      </c>
      <c r="F18">
        <v>58.753399999999999</v>
      </c>
      <c r="G18">
        <v>0.85</v>
      </c>
      <c r="H18" s="1">
        <f>D$18*E18+D$19*E18^2/2+D$20*E18^3/3+D$21*E18^4/4+D$22/E18+D$23-D$25</f>
        <v>9.6858333333443625E-2</v>
      </c>
      <c r="J18" s="1">
        <f>F$18*G18+F$19*G18^2/2+F$20*G18^3/3+F$21*G18^4/4+F$22/G18+F$23-F$25</f>
        <v>35.187262705600574</v>
      </c>
    </row>
    <row r="19" spans="4:11" x14ac:dyDescent="0.25">
      <c r="D19">
        <v>251.67500000000001</v>
      </c>
      <c r="E19">
        <v>0.35</v>
      </c>
      <c r="F19">
        <v>10.279199999999999</v>
      </c>
      <c r="G19">
        <v>0.9</v>
      </c>
      <c r="H19" s="1">
        <f t="shared" ref="H19:H29" si="0">D$18*E19+D$19*E19^2/2+D$20*E19^3/3+D$21*E19^4/4+D$22/E19+D$23-D$25</f>
        <v>2.4538509583334189</v>
      </c>
      <c r="J19" s="1">
        <f t="shared" ref="J19:J41" si="1">F$18*G19+F$19*G19^2/2+F$20*G19^3/3+F$21*G19^4/4+F$22/G19+F$23-F$25</f>
        <v>38.568788534444479</v>
      </c>
      <c r="K19" s="1">
        <f>J19-J18</f>
        <v>3.3815258288439054</v>
      </c>
    </row>
    <row r="20" spans="4:11" x14ac:dyDescent="0.25">
      <c r="D20">
        <v>-324.79599999999999</v>
      </c>
      <c r="E20">
        <v>0.4</v>
      </c>
      <c r="F20">
        <v>-0.13138</v>
      </c>
      <c r="G20">
        <v>0.95</v>
      </c>
      <c r="H20" s="1">
        <f t="shared" si="0"/>
        <v>5.0273326666667799</v>
      </c>
      <c r="J20" s="1">
        <f t="shared" si="1"/>
        <v>41.975750448629469</v>
      </c>
      <c r="K20" s="1">
        <f t="shared" ref="K20:K41" si="2">J20-J19</f>
        <v>3.4069619141849898</v>
      </c>
    </row>
    <row r="21" spans="4:11" x14ac:dyDescent="0.25">
      <c r="D21">
        <v>168.56</v>
      </c>
      <c r="E21">
        <v>0.45</v>
      </c>
      <c r="F21">
        <v>2.52E-2</v>
      </c>
      <c r="G21">
        <v>1</v>
      </c>
      <c r="H21" s="1">
        <f t="shared" si="0"/>
        <v>7.7834108472222852</v>
      </c>
      <c r="J21" s="1">
        <f t="shared" si="1"/>
        <v>45.408106666666754</v>
      </c>
      <c r="K21" s="1">
        <f t="shared" si="2"/>
        <v>3.4323562180372846</v>
      </c>
    </row>
    <row r="22" spans="4:11" x14ac:dyDescent="0.25">
      <c r="D22">
        <v>2.5479999999999999E-3</v>
      </c>
      <c r="E22">
        <v>0.5</v>
      </c>
      <c r="F22">
        <v>2.5600000000000001E-2</v>
      </c>
      <c r="G22">
        <v>1.05</v>
      </c>
      <c r="H22" s="1">
        <f t="shared" si="0"/>
        <v>10.694554333333372</v>
      </c>
      <c r="J22" s="1">
        <f t="shared" si="1"/>
        <v>48.865821384256037</v>
      </c>
      <c r="K22" s="1">
        <f t="shared" si="2"/>
        <v>3.4577147175892833</v>
      </c>
    </row>
    <row r="23" spans="4:11" x14ac:dyDescent="0.25">
      <c r="D23">
        <v>-917.68899999999996</v>
      </c>
      <c r="E23">
        <v>0.55000000000000004</v>
      </c>
      <c r="F23">
        <v>-929.32899999999995</v>
      </c>
      <c r="G23">
        <v>1.1000000000000001</v>
      </c>
      <c r="H23" s="1">
        <f t="shared" si="0"/>
        <v>13.73957501893949</v>
      </c>
      <c r="J23" s="1">
        <f t="shared" si="1"/>
        <v>52.348863630606161</v>
      </c>
      <c r="K23" s="1">
        <f t="shared" si="2"/>
        <v>3.4830422463501236</v>
      </c>
    </row>
    <row r="24" spans="4:11" x14ac:dyDescent="0.25">
      <c r="D24">
        <v>-27.9696</v>
      </c>
      <c r="E24">
        <v>0.6</v>
      </c>
      <c r="F24">
        <v>105.809</v>
      </c>
      <c r="G24">
        <v>1.1499999999999999</v>
      </c>
      <c r="H24" s="1">
        <f t="shared" si="0"/>
        <v>16.903618666666716</v>
      </c>
      <c r="J24" s="1">
        <f t="shared" si="1"/>
        <v>55.857206423106959</v>
      </c>
      <c r="K24" s="1">
        <f t="shared" si="2"/>
        <v>3.5083427925007982</v>
      </c>
    </row>
    <row r="25" spans="4:11" x14ac:dyDescent="0.25">
      <c r="D25">
        <v>-910.85680000000002</v>
      </c>
      <c r="E25">
        <v>0.65</v>
      </c>
      <c r="F25">
        <v>-910.85599999999999</v>
      </c>
      <c r="G25">
        <v>1.2</v>
      </c>
      <c r="H25" s="1">
        <f t="shared" si="0"/>
        <v>20.178159958333367</v>
      </c>
      <c r="J25" s="1">
        <f t="shared" si="1"/>
        <v>59.390826133333348</v>
      </c>
      <c r="K25" s="1">
        <f t="shared" si="2"/>
        <v>3.5336197102263895</v>
      </c>
    </row>
    <row r="26" spans="4:11" x14ac:dyDescent="0.25">
      <c r="E26">
        <v>0.7</v>
      </c>
      <c r="G26">
        <v>1.25</v>
      </c>
      <c r="H26" s="1">
        <f t="shared" si="0"/>
        <v>23.560999666666703</v>
      </c>
      <c r="J26" s="1">
        <f t="shared" si="1"/>
        <v>62.949702005208337</v>
      </c>
      <c r="K26" s="1">
        <f t="shared" si="2"/>
        <v>3.5588758718749887</v>
      </c>
    </row>
    <row r="27" spans="4:11" x14ac:dyDescent="0.25">
      <c r="E27">
        <v>0.75</v>
      </c>
      <c r="G27">
        <v>1.3</v>
      </c>
      <c r="H27" s="1">
        <f t="shared" si="0"/>
        <v>27.056262958333377</v>
      </c>
      <c r="J27" s="1">
        <f t="shared" si="1"/>
        <v>66.533815784359035</v>
      </c>
      <c r="K27" s="1">
        <f t="shared" si="2"/>
        <v>3.5841137791506981</v>
      </c>
    </row>
    <row r="28" spans="4:11" x14ac:dyDescent="0.25">
      <c r="E28">
        <v>0.8</v>
      </c>
      <c r="G28">
        <v>1.35</v>
      </c>
      <c r="H28" s="1">
        <f t="shared" si="0"/>
        <v>30.674398333333329</v>
      </c>
      <c r="J28" s="1">
        <f t="shared" si="1"/>
        <v>70.143151429837985</v>
      </c>
      <c r="K28" s="1">
        <f t="shared" si="2"/>
        <v>3.60933564547895</v>
      </c>
    </row>
    <row r="29" spans="4:11" x14ac:dyDescent="0.25">
      <c r="E29">
        <v>0.85</v>
      </c>
      <c r="G29">
        <v>1.4</v>
      </c>
      <c r="H29" s="1">
        <f t="shared" si="0"/>
        <v>34.432176938725547</v>
      </c>
      <c r="J29" s="1">
        <f t="shared" si="1"/>
        <v>73.777694887619077</v>
      </c>
      <c r="K29" s="1">
        <f t="shared" si="2"/>
        <v>3.634543457781092</v>
      </c>
    </row>
    <row r="30" spans="4:11" x14ac:dyDescent="0.25">
      <c r="G30">
        <v>1.45</v>
      </c>
      <c r="J30" s="1">
        <f t="shared" si="1"/>
        <v>77.437433910955519</v>
      </c>
      <c r="K30" s="1">
        <f t="shared" si="2"/>
        <v>3.6597390233364422</v>
      </c>
    </row>
    <row r="31" spans="4:11" x14ac:dyDescent="0.25">
      <c r="G31">
        <v>1.5</v>
      </c>
      <c r="J31" s="1">
        <f t="shared" si="1"/>
        <v>81.122357916666715</v>
      </c>
      <c r="K31" s="1">
        <f t="shared" si="2"/>
        <v>3.6849240057111956</v>
      </c>
    </row>
    <row r="32" spans="4:11" x14ac:dyDescent="0.25">
      <c r="G32">
        <v>1.55</v>
      </c>
      <c r="J32" s="1">
        <f t="shared" si="1"/>
        <v>84.83245786924067</v>
      </c>
      <c r="K32" s="1">
        <f t="shared" si="2"/>
        <v>3.7100999525739553</v>
      </c>
    </row>
    <row r="33" spans="7:11" x14ac:dyDescent="0.25">
      <c r="G33">
        <v>1.6</v>
      </c>
      <c r="J33" s="1">
        <f t="shared" si="1"/>
        <v>88.567726186666732</v>
      </c>
      <c r="K33" s="1">
        <f t="shared" si="2"/>
        <v>3.7352683174260619</v>
      </c>
    </row>
    <row r="34" spans="7:11" x14ac:dyDescent="0.25">
      <c r="G34">
        <v>1.65</v>
      </c>
      <c r="J34" s="1">
        <f t="shared" si="1"/>
        <v>92.328156663390132</v>
      </c>
      <c r="K34" s="1">
        <f t="shared" si="2"/>
        <v>3.7604304767233998</v>
      </c>
    </row>
    <row r="35" spans="7:11" x14ac:dyDescent="0.25">
      <c r="G35">
        <v>1.7</v>
      </c>
      <c r="J35" s="1">
        <f t="shared" si="1"/>
        <v>96.113744406862793</v>
      </c>
      <c r="K35" s="1">
        <f t="shared" si="2"/>
        <v>3.7855877434726608</v>
      </c>
    </row>
    <row r="36" spans="7:11" x14ac:dyDescent="0.25">
      <c r="G36">
        <v>1.75</v>
      </c>
      <c r="J36" s="1">
        <f t="shared" si="1"/>
        <v>99.924485784970329</v>
      </c>
      <c r="K36" s="1">
        <f t="shared" si="2"/>
        <v>3.8107413781075365</v>
      </c>
    </row>
    <row r="37" spans="7:11" x14ac:dyDescent="0.25">
      <c r="G37">
        <v>1.8</v>
      </c>
      <c r="J37" s="1">
        <f t="shared" si="1"/>
        <v>103.76037838222226</v>
      </c>
      <c r="K37" s="1">
        <f t="shared" si="2"/>
        <v>3.8358925972519273</v>
      </c>
    </row>
    <row r="38" spans="7:11" x14ac:dyDescent="0.25">
      <c r="G38">
        <v>1.85</v>
      </c>
      <c r="J38" s="1">
        <f t="shared" si="1"/>
        <v>107.62142096304626</v>
      </c>
      <c r="K38" s="1">
        <f t="shared" si="2"/>
        <v>3.8610425808240052</v>
      </c>
    </row>
    <row r="39" spans="7:11" x14ac:dyDescent="0.25">
      <c r="G39">
        <v>1.9</v>
      </c>
      <c r="J39" s="1">
        <f t="shared" si="1"/>
        <v>111.50761344087721</v>
      </c>
      <c r="K39" s="1">
        <f t="shared" si="2"/>
        <v>3.8861924778309458</v>
      </c>
    </row>
    <row r="40" spans="7:11" x14ac:dyDescent="0.25">
      <c r="G40">
        <v>1.95</v>
      </c>
      <c r="J40" s="1">
        <f t="shared" si="1"/>
        <v>115.41895685200325</v>
      </c>
      <c r="K40" s="1">
        <f t="shared" si="2"/>
        <v>3.9113434111260403</v>
      </c>
    </row>
    <row r="41" spans="7:11" x14ac:dyDescent="0.25">
      <c r="G41">
        <v>2</v>
      </c>
      <c r="J41" s="1">
        <f t="shared" si="1"/>
        <v>119.35545333333334</v>
      </c>
      <c r="K41" s="1">
        <f t="shared" si="2"/>
        <v>3.9364964813300958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Chart1</vt:lpstr>
      <vt:lpstr>BeamEnergy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Walter</cp:lastModifiedBy>
  <dcterms:created xsi:type="dcterms:W3CDTF">2010-06-17T15:27:24Z</dcterms:created>
  <dcterms:modified xsi:type="dcterms:W3CDTF">2016-07-12T21:42:57Z</dcterms:modified>
</cp:coreProperties>
</file>